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Audit Packages-Local Governments\County\2025\County SPR Report Package-2025\County SPR Canned Financial Statements\"/>
    </mc:Choice>
  </mc:AlternateContent>
  <xr:revisionPtr revIDLastSave="0" documentId="13_ncr:1_{F1B050E9-9E9F-4B10-A8A9-6BA020336425}" xr6:coauthVersionLast="47" xr6:coauthVersionMax="47" xr10:uidLastSave="{00000000-0000-0000-0000-000000000000}"/>
  <bookViews>
    <workbookView xWindow="-108" yWindow="-108" windowWidth="23256" windowHeight="12456" activeTab="2" xr2:uid="{00000000-000D-0000-FFFF-FFFF00000000}"/>
  </bookViews>
  <sheets>
    <sheet name="Change in Proportionate Share" sheetId="3" r:id="rId1"/>
    <sheet name="Contributions &amp; Covered Payroll" sheetId="2" r:id="rId2"/>
    <sheet name="Calculations" sheetId="1" r:id="rId3"/>
    <sheet name="Reconciliations" sheetId="4" r:id="rId4"/>
    <sheet name="Statement of Net Position Wrkst" sheetId="11" r:id="rId5"/>
    <sheet name="Statement of Activities Wrkst" sheetId="12" r:id="rId6"/>
    <sheet name="Pension Notes" sheetId="10" r:id="rId7"/>
    <sheet name="RSI-NPL(A)" sheetId="7" r:id="rId8"/>
    <sheet name="RSI-Contributions" sheetId="8" r:id="rId9"/>
    <sheet name="RSI-Notes" sheetId="9" r:id="rId10"/>
  </sheets>
  <definedNames>
    <definedName name="_xlnm.Print_Area" localSheetId="2">Calculations!$A$1:$L$210</definedName>
    <definedName name="_xlnm.Print_Area" localSheetId="0">'Change in Proportionate Share'!$A$1:$R$64</definedName>
    <definedName name="_xlnm.Print_Area" localSheetId="6">'Pension Notes'!$A$1:$F$269</definedName>
    <definedName name="_xlnm.Print_Area" localSheetId="9">'RSI-Notes'!$A$1:$A$34</definedName>
    <definedName name="_xlnm.Print_Area" localSheetId="4">'Statement of Net Position Wrkst'!$A$1:$O$131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5" i="10" l="1"/>
  <c r="E245" i="10"/>
  <c r="D245" i="10"/>
  <c r="C152" i="10"/>
  <c r="C151" i="10"/>
  <c r="C150" i="10"/>
  <c r="C149" i="10"/>
  <c r="E125" i="10"/>
  <c r="F123" i="10"/>
  <c r="E121" i="10"/>
  <c r="F95" i="10"/>
  <c r="F93" i="10"/>
  <c r="F91" i="10"/>
  <c r="E10" i="7" l="1"/>
  <c r="E19" i="7"/>
  <c r="E18" i="7"/>
  <c r="E17" i="7"/>
  <c r="E16" i="7"/>
  <c r="E15" i="7"/>
  <c r="E14" i="7"/>
  <c r="E13" i="7"/>
  <c r="E12" i="7"/>
  <c r="E11" i="7"/>
  <c r="C14" i="7"/>
  <c r="T14" i="2" l="1"/>
  <c r="H43" i="1" l="1"/>
  <c r="H44" i="1"/>
  <c r="C153" i="10"/>
  <c r="A103" i="10"/>
  <c r="C11" i="7"/>
  <c r="R41" i="3" l="1"/>
  <c r="R62" i="3"/>
  <c r="C57" i="3"/>
  <c r="B57" i="3"/>
  <c r="C36" i="3"/>
  <c r="B36" i="3"/>
  <c r="N36" i="3" l="1"/>
  <c r="O57" i="3"/>
  <c r="M57" i="3"/>
  <c r="P57" i="3"/>
  <c r="N57" i="3"/>
  <c r="O36" i="3"/>
  <c r="P36" i="3"/>
  <c r="M36" i="3"/>
  <c r="Q57" i="3" l="1"/>
  <c r="Q36" i="3"/>
  <c r="P20" i="3" l="1"/>
  <c r="U23" i="2"/>
  <c r="T23" i="2"/>
  <c r="U15" i="2"/>
  <c r="T15" i="2"/>
  <c r="U25" i="2" l="1"/>
  <c r="I12" i="8" s="1"/>
  <c r="T25" i="2"/>
  <c r="H105" i="1"/>
  <c r="M20" i="3"/>
  <c r="N20" i="3"/>
  <c r="O20" i="3"/>
  <c r="H38" i="1"/>
  <c r="C10" i="7"/>
  <c r="C12" i="7"/>
  <c r="C154" i="10"/>
  <c r="E12" i="8" l="1"/>
  <c r="C12" i="8"/>
  <c r="C75" i="10"/>
  <c r="Q20" i="3"/>
  <c r="B56" i="3"/>
  <c r="C56" i="3"/>
  <c r="C35" i="3"/>
  <c r="B35" i="3"/>
  <c r="N19" i="3"/>
  <c r="G12" i="8" l="1"/>
  <c r="O56" i="3"/>
  <c r="L56" i="3"/>
  <c r="M56" i="3"/>
  <c r="N56" i="3"/>
  <c r="O35" i="3"/>
  <c r="L35" i="3"/>
  <c r="M35" i="3"/>
  <c r="N35" i="3"/>
  <c r="L19" i="3"/>
  <c r="O19" i="3"/>
  <c r="M19" i="3"/>
  <c r="P56" i="3" l="1"/>
  <c r="P35" i="3"/>
  <c r="P19" i="3"/>
  <c r="S23" i="2" l="1"/>
  <c r="U27" i="2" s="1"/>
  <c r="G11" i="7" s="1"/>
  <c r="I11" i="7" s="1"/>
  <c r="R23" i="2"/>
  <c r="T27" i="2" s="1"/>
  <c r="S15" i="2"/>
  <c r="R15" i="2"/>
  <c r="R25" i="2" l="1"/>
  <c r="C76" i="10" s="1"/>
  <c r="S25" i="2"/>
  <c r="I13" i="8" s="1"/>
  <c r="P15" i="2"/>
  <c r="C13" i="7"/>
  <c r="B55" i="3"/>
  <c r="C55" i="3"/>
  <c r="C37" i="3"/>
  <c r="C34" i="3"/>
  <c r="B34" i="3"/>
  <c r="E13" i="8" l="1"/>
  <c r="C13" i="8"/>
  <c r="L55" i="3"/>
  <c r="N55" i="3"/>
  <c r="M55" i="3"/>
  <c r="K55" i="3"/>
  <c r="G13" i="8" l="1"/>
  <c r="O55" i="3"/>
  <c r="N18" i="3" l="1"/>
  <c r="M18" i="3"/>
  <c r="Q23" i="2"/>
  <c r="P23" i="2"/>
  <c r="Q15" i="2"/>
  <c r="O23" i="2"/>
  <c r="N23" i="2"/>
  <c r="O15" i="2"/>
  <c r="N15" i="2"/>
  <c r="S27" i="2" l="1"/>
  <c r="G12" i="7" s="1"/>
  <c r="P25" i="2"/>
  <c r="R27" i="2"/>
  <c r="P27" i="2"/>
  <c r="Q27" i="2"/>
  <c r="G13" i="7" s="1"/>
  <c r="N25" i="2"/>
  <c r="C15" i="8" s="1"/>
  <c r="Q25" i="2"/>
  <c r="I14" i="8" s="1"/>
  <c r="K18" i="3"/>
  <c r="L18" i="3"/>
  <c r="O25" i="2"/>
  <c r="I15" i="8" s="1"/>
  <c r="E15" i="8" l="1"/>
  <c r="G15" i="8" s="1"/>
  <c r="E14" i="8"/>
  <c r="C14" i="8"/>
  <c r="G14" i="8" s="1"/>
  <c r="O18" i="3"/>
  <c r="M235" i="12"/>
  <c r="C15" i="7" l="1"/>
  <c r="M23" i="2" l="1"/>
  <c r="L23" i="2"/>
  <c r="M15" i="2"/>
  <c r="L15" i="2"/>
  <c r="O27" i="2" l="1"/>
  <c r="G14" i="7" s="1"/>
  <c r="I14" i="7" s="1"/>
  <c r="N27" i="2"/>
  <c r="L25" i="2"/>
  <c r="M25" i="2"/>
  <c r="I16" i="8" s="1"/>
  <c r="E16" i="8" l="1"/>
  <c r="K16" i="8" s="1"/>
  <c r="C16" i="8"/>
  <c r="G16" i="8" l="1"/>
  <c r="C16" i="7"/>
  <c r="W23" i="2" l="1"/>
  <c r="V23" i="2"/>
  <c r="H109" i="1" s="1"/>
  <c r="W15" i="2"/>
  <c r="W27" i="2" s="1"/>
  <c r="V15" i="2"/>
  <c r="V27" i="2" s="1"/>
  <c r="J44" i="1"/>
  <c r="H107" i="1" l="1"/>
  <c r="W25" i="2"/>
  <c r="I11" i="8" s="1"/>
  <c r="V25" i="2"/>
  <c r="E11" i="8" l="1"/>
  <c r="K11" i="8" s="1"/>
  <c r="C11" i="8"/>
  <c r="G11" i="8" s="1"/>
  <c r="C74" i="10"/>
  <c r="K12" i="8"/>
  <c r="I12" i="7"/>
  <c r="G10" i="7"/>
  <c r="I10" i="7" s="1"/>
  <c r="K13" i="8"/>
  <c r="K14" i="8"/>
  <c r="K15" i="8"/>
  <c r="C19" i="7"/>
  <c r="C23" i="2" l="1"/>
  <c r="B23" i="2"/>
  <c r="C15" i="2"/>
  <c r="B15" i="2"/>
  <c r="B25" i="2" l="1"/>
  <c r="C25" i="2"/>
  <c r="C18" i="7" l="1"/>
  <c r="B50" i="3" l="1"/>
  <c r="B49" i="3"/>
  <c r="B48" i="3"/>
  <c r="C58" i="3"/>
  <c r="C54" i="3"/>
  <c r="C53" i="3"/>
  <c r="C52" i="3"/>
  <c r="C51" i="3"/>
  <c r="C50" i="3"/>
  <c r="C49" i="3"/>
  <c r="C48" i="3"/>
  <c r="C33" i="3"/>
  <c r="C32" i="3"/>
  <c r="C31" i="3"/>
  <c r="C30" i="3"/>
  <c r="C29" i="3"/>
  <c r="C28" i="3"/>
  <c r="C27" i="3"/>
  <c r="B29" i="3"/>
  <c r="B28" i="3"/>
  <c r="B27" i="3"/>
  <c r="E48" i="3" l="1"/>
  <c r="D27" i="3"/>
  <c r="D39" i="3" s="1"/>
  <c r="H28" i="3"/>
  <c r="F50" i="3"/>
  <c r="G50" i="3" s="1"/>
  <c r="D48" i="3"/>
  <c r="F49" i="3"/>
  <c r="E49" i="3"/>
  <c r="F28" i="3"/>
  <c r="E28" i="3"/>
  <c r="G28" i="3"/>
  <c r="I29" i="3"/>
  <c r="F29" i="3"/>
  <c r="G29" i="3"/>
  <c r="H29" i="3"/>
  <c r="E27" i="3"/>
  <c r="E39" i="3" l="1"/>
  <c r="I28" i="3"/>
  <c r="J28" i="3" s="1"/>
  <c r="H50" i="3"/>
  <c r="I50" i="3" s="1"/>
  <c r="F48" i="3"/>
  <c r="D60" i="3"/>
  <c r="G49" i="3"/>
  <c r="H49" i="3" s="1"/>
  <c r="J29" i="3"/>
  <c r="F27" i="3"/>
  <c r="F39" i="3" l="1"/>
  <c r="G27" i="3"/>
  <c r="F60" i="3"/>
  <c r="J50" i="3"/>
  <c r="E60" i="3"/>
  <c r="G48" i="3"/>
  <c r="I49" i="3"/>
  <c r="J49" i="3" s="1"/>
  <c r="H27" i="3" l="1"/>
  <c r="H48" i="3"/>
  <c r="I27" i="3" l="1"/>
  <c r="I48" i="3"/>
  <c r="F62" i="3" s="1"/>
  <c r="F41" i="3" l="1"/>
  <c r="E41" i="3"/>
  <c r="D41" i="3"/>
  <c r="D62" i="3"/>
  <c r="E62" i="3"/>
  <c r="F91" i="1" l="1"/>
  <c r="F53" i="1" l="1"/>
  <c r="J15" i="2"/>
  <c r="F97" i="10" l="1"/>
  <c r="E125" i="12" l="1"/>
  <c r="G124" i="12"/>
  <c r="E314" i="12"/>
  <c r="E120" i="11"/>
  <c r="M126" i="12"/>
  <c r="C323" i="12"/>
  <c r="M321" i="12"/>
  <c r="M320" i="12"/>
  <c r="M319" i="12"/>
  <c r="M318" i="12"/>
  <c r="M312" i="12"/>
  <c r="M307" i="12"/>
  <c r="M306" i="12"/>
  <c r="C304" i="12"/>
  <c r="M302" i="12"/>
  <c r="M301" i="12"/>
  <c r="M299" i="12"/>
  <c r="M298" i="12"/>
  <c r="M297" i="12"/>
  <c r="M296" i="12"/>
  <c r="M295" i="12"/>
  <c r="M288" i="12"/>
  <c r="M286" i="12"/>
  <c r="M284" i="12"/>
  <c r="M281" i="12"/>
  <c r="M279" i="12"/>
  <c r="G277" i="12"/>
  <c r="E277" i="12"/>
  <c r="C277" i="12"/>
  <c r="M275" i="12"/>
  <c r="M274" i="12"/>
  <c r="M271" i="12"/>
  <c r="M270" i="12"/>
  <c r="M269" i="12"/>
  <c r="G265" i="12"/>
  <c r="E265" i="12"/>
  <c r="C265" i="12"/>
  <c r="M263" i="12"/>
  <c r="M262" i="12"/>
  <c r="M261" i="12"/>
  <c r="M260" i="12"/>
  <c r="M259" i="12"/>
  <c r="M256" i="12"/>
  <c r="M255" i="12"/>
  <c r="M254" i="12"/>
  <c r="M253" i="12"/>
  <c r="M252" i="12"/>
  <c r="M251" i="12"/>
  <c r="M250" i="12"/>
  <c r="G246" i="12"/>
  <c r="E246" i="12"/>
  <c r="C246" i="12"/>
  <c r="M244" i="12"/>
  <c r="M243" i="12"/>
  <c r="M242" i="12"/>
  <c r="M241" i="12"/>
  <c r="M240" i="12"/>
  <c r="M239" i="12"/>
  <c r="M236" i="12"/>
  <c r="M234" i="12"/>
  <c r="M233" i="12"/>
  <c r="M232" i="12"/>
  <c r="M231" i="12"/>
  <c r="M230" i="12"/>
  <c r="G226" i="12"/>
  <c r="E226" i="12"/>
  <c r="C226" i="12"/>
  <c r="M224" i="12"/>
  <c r="M223" i="12"/>
  <c r="M222" i="12"/>
  <c r="M221" i="12"/>
  <c r="M220" i="12"/>
  <c r="M219" i="12"/>
  <c r="M216" i="12"/>
  <c r="M215" i="12"/>
  <c r="M214" i="12"/>
  <c r="M213" i="12"/>
  <c r="M212" i="12"/>
  <c r="M209" i="12"/>
  <c r="M208" i="12"/>
  <c r="M207" i="12"/>
  <c r="M206" i="12"/>
  <c r="M205" i="12"/>
  <c r="M204" i="12"/>
  <c r="M203" i="12"/>
  <c r="M200" i="12"/>
  <c r="M199" i="12"/>
  <c r="M198" i="12"/>
  <c r="M197" i="12"/>
  <c r="M196" i="12"/>
  <c r="G192" i="12"/>
  <c r="E192" i="12"/>
  <c r="C192" i="12"/>
  <c r="M190" i="12"/>
  <c r="M188" i="12"/>
  <c r="M186" i="12"/>
  <c r="M185" i="12"/>
  <c r="M182" i="12"/>
  <c r="M181" i="12"/>
  <c r="M178" i="12"/>
  <c r="G174" i="12"/>
  <c r="E174" i="12"/>
  <c r="C174" i="12"/>
  <c r="M172" i="12"/>
  <c r="M171" i="12"/>
  <c r="M170" i="12"/>
  <c r="M169" i="12"/>
  <c r="M168" i="12"/>
  <c r="M165" i="12"/>
  <c r="M164" i="12"/>
  <c r="M163" i="12"/>
  <c r="M162" i="12"/>
  <c r="M161" i="12"/>
  <c r="M160" i="12"/>
  <c r="C156" i="12"/>
  <c r="M154" i="12"/>
  <c r="M153" i="12"/>
  <c r="M152" i="12"/>
  <c r="M151" i="12"/>
  <c r="M150" i="12"/>
  <c r="M149" i="12"/>
  <c r="M148" i="12"/>
  <c r="M147" i="12"/>
  <c r="M146" i="12"/>
  <c r="M145" i="12"/>
  <c r="M144" i="12"/>
  <c r="M143" i="12"/>
  <c r="M140" i="12"/>
  <c r="M138" i="12"/>
  <c r="M137" i="12"/>
  <c r="M136" i="12"/>
  <c r="M133" i="12"/>
  <c r="M132" i="12"/>
  <c r="M131" i="12"/>
  <c r="M130" i="12"/>
  <c r="M128" i="12"/>
  <c r="M127" i="12"/>
  <c r="G116" i="12"/>
  <c r="E116" i="12"/>
  <c r="C116" i="12"/>
  <c r="M114" i="12"/>
  <c r="M113" i="12"/>
  <c r="M111" i="12"/>
  <c r="M110" i="12"/>
  <c r="M109" i="12"/>
  <c r="M108" i="12"/>
  <c r="G105" i="12"/>
  <c r="E105" i="12"/>
  <c r="C105" i="12"/>
  <c r="M103" i="12"/>
  <c r="M102" i="12"/>
  <c r="M101" i="12"/>
  <c r="M100" i="12"/>
  <c r="G97" i="12"/>
  <c r="E97" i="12"/>
  <c r="C97" i="12"/>
  <c r="M95" i="12"/>
  <c r="M94" i="12"/>
  <c r="M93" i="12"/>
  <c r="M92" i="12"/>
  <c r="M91" i="12"/>
  <c r="M90" i="12"/>
  <c r="M89" i="12"/>
  <c r="M88" i="12"/>
  <c r="M87" i="12"/>
  <c r="M86" i="12"/>
  <c r="M85" i="12"/>
  <c r="M83" i="12"/>
  <c r="M82" i="12"/>
  <c r="M81" i="12"/>
  <c r="M80" i="12"/>
  <c r="M79" i="12"/>
  <c r="M78" i="12"/>
  <c r="M76" i="12"/>
  <c r="M75" i="12"/>
  <c r="M73" i="12"/>
  <c r="M72" i="12"/>
  <c r="M71" i="12"/>
  <c r="M70" i="12"/>
  <c r="M68" i="12"/>
  <c r="M67" i="12"/>
  <c r="M66" i="12"/>
  <c r="M65" i="12"/>
  <c r="M64" i="12"/>
  <c r="M63" i="12"/>
  <c r="G59" i="12"/>
  <c r="E59" i="12"/>
  <c r="C59" i="12"/>
  <c r="M57" i="12"/>
  <c r="M56" i="12"/>
  <c r="M55" i="12"/>
  <c r="M54" i="12"/>
  <c r="M53" i="12"/>
  <c r="M52" i="12"/>
  <c r="M51" i="12"/>
  <c r="M50" i="12"/>
  <c r="M49" i="12"/>
  <c r="M47" i="12"/>
  <c r="M45" i="12"/>
  <c r="M43" i="12"/>
  <c r="M41" i="12"/>
  <c r="M40" i="12"/>
  <c r="M38" i="12"/>
  <c r="M36" i="12"/>
  <c r="M34" i="12"/>
  <c r="M33" i="12"/>
  <c r="M32" i="12"/>
  <c r="M31" i="12"/>
  <c r="M29" i="12"/>
  <c r="M28" i="12"/>
  <c r="M27" i="12"/>
  <c r="M26" i="12"/>
  <c r="M23" i="12"/>
  <c r="G21" i="12"/>
  <c r="E21" i="12"/>
  <c r="C21" i="12"/>
  <c r="M19" i="12"/>
  <c r="M18" i="12"/>
  <c r="M17" i="12"/>
  <c r="M16" i="12"/>
  <c r="M15" i="12"/>
  <c r="M14" i="12"/>
  <c r="M13" i="12"/>
  <c r="M12" i="12"/>
  <c r="C128" i="11"/>
  <c r="M125" i="11"/>
  <c r="M124" i="11"/>
  <c r="M123" i="11"/>
  <c r="M119" i="11"/>
  <c r="M118" i="11"/>
  <c r="M117" i="11"/>
  <c r="M113" i="11"/>
  <c r="M110" i="11"/>
  <c r="M109" i="11"/>
  <c r="M108" i="11"/>
  <c r="M107" i="11"/>
  <c r="M106" i="11"/>
  <c r="C103" i="11"/>
  <c r="M101" i="11"/>
  <c r="M98" i="11"/>
  <c r="M97" i="11"/>
  <c r="C94" i="11"/>
  <c r="M87" i="11"/>
  <c r="M85" i="11"/>
  <c r="M84" i="11"/>
  <c r="M83" i="11"/>
  <c r="M82" i="11"/>
  <c r="M81" i="11"/>
  <c r="M80" i="11"/>
  <c r="M79" i="11"/>
  <c r="M78" i="11"/>
  <c r="M77" i="11"/>
  <c r="M76" i="11"/>
  <c r="M75" i="11"/>
  <c r="M74" i="11"/>
  <c r="M73" i="11"/>
  <c r="M72" i="11"/>
  <c r="M71" i="11"/>
  <c r="M70" i="11"/>
  <c r="M69" i="11"/>
  <c r="M68" i="11"/>
  <c r="M67" i="11"/>
  <c r="M66" i="11"/>
  <c r="M65" i="11"/>
  <c r="M64" i="11"/>
  <c r="M63" i="11"/>
  <c r="M62" i="11"/>
  <c r="M61" i="11"/>
  <c r="C53" i="11"/>
  <c r="M51" i="11"/>
  <c r="M50" i="11"/>
  <c r="C44" i="11"/>
  <c r="M41" i="11"/>
  <c r="M40" i="11"/>
  <c r="M37" i="11"/>
  <c r="M36" i="11"/>
  <c r="M33" i="11"/>
  <c r="M32" i="11"/>
  <c r="M31" i="11"/>
  <c r="M30" i="11"/>
  <c r="M29" i="11"/>
  <c r="M28" i="11"/>
  <c r="M27" i="11"/>
  <c r="M26" i="11"/>
  <c r="M25" i="11"/>
  <c r="M24" i="11"/>
  <c r="M23" i="11"/>
  <c r="M22" i="11"/>
  <c r="M21" i="11"/>
  <c r="M19" i="11"/>
  <c r="M18" i="11"/>
  <c r="M17" i="11"/>
  <c r="M16" i="11"/>
  <c r="M15" i="11"/>
  <c r="M14" i="11"/>
  <c r="M13" i="11"/>
  <c r="M12" i="11"/>
  <c r="M11" i="11"/>
  <c r="M10" i="11"/>
  <c r="C56" i="11" l="1"/>
  <c r="C118" i="12"/>
  <c r="M21" i="12"/>
  <c r="C131" i="11"/>
  <c r="M174" i="12"/>
  <c r="M105" i="12"/>
  <c r="M192" i="12"/>
  <c r="M265" i="12"/>
  <c r="M246" i="12"/>
  <c r="E118" i="12"/>
  <c r="M226" i="12"/>
  <c r="G118" i="12"/>
  <c r="M59" i="12"/>
  <c r="M116" i="12"/>
  <c r="M277" i="12"/>
  <c r="M97" i="12"/>
  <c r="C290" i="12"/>
  <c r="M304" i="12"/>
  <c r="D15" i="2"/>
  <c r="D27" i="2" s="1"/>
  <c r="E15" i="2"/>
  <c r="E27" i="2" s="1"/>
  <c r="G19" i="7" s="1"/>
  <c r="I19" i="7" s="1"/>
  <c r="D23" i="2"/>
  <c r="E23" i="2"/>
  <c r="C310" i="12" l="1"/>
  <c r="C325" i="12" s="1"/>
  <c r="D25" i="2"/>
  <c r="M118" i="12"/>
  <c r="E25" i="2"/>
  <c r="I20" i="8" s="1"/>
  <c r="C292" i="12"/>
  <c r="J144" i="1"/>
  <c r="D7" i="4" s="1"/>
  <c r="G90" i="11" s="1"/>
  <c r="E20" i="8" l="1"/>
  <c r="K20" i="8" s="1"/>
  <c r="C20" i="8"/>
  <c r="F92" i="1"/>
  <c r="F90" i="1"/>
  <c r="F121" i="1"/>
  <c r="G20" i="8" l="1"/>
  <c r="D102" i="10"/>
  <c r="C17" i="7" l="1"/>
  <c r="H12" i="3"/>
  <c r="G12" i="3"/>
  <c r="F12" i="3"/>
  <c r="E12" i="3"/>
  <c r="D11" i="3"/>
  <c r="I12" i="3" l="1"/>
  <c r="E11" i="3"/>
  <c r="F11" i="3" s="1"/>
  <c r="G11" i="3" l="1"/>
  <c r="H11" i="3" l="1"/>
  <c r="I11" i="3" l="1"/>
  <c r="K23" i="2"/>
  <c r="J23" i="2"/>
  <c r="I23" i="2"/>
  <c r="H23" i="2"/>
  <c r="G23" i="2"/>
  <c r="F23" i="2"/>
  <c r="K15" i="2"/>
  <c r="I15" i="2"/>
  <c r="H15" i="2"/>
  <c r="G15" i="2"/>
  <c r="G27" i="2" s="1"/>
  <c r="G18" i="7" s="1"/>
  <c r="I18" i="7" s="1"/>
  <c r="F15" i="2"/>
  <c r="F27" i="2" s="1"/>
  <c r="L27" i="2" l="1"/>
  <c r="I13" i="7"/>
  <c r="M27" i="2"/>
  <c r="G15" i="7" s="1"/>
  <c r="I15" i="7" s="1"/>
  <c r="H150" i="1"/>
  <c r="K25" i="2"/>
  <c r="I17" i="8" s="1"/>
  <c r="J25" i="2"/>
  <c r="H25" i="2"/>
  <c r="I27" i="2"/>
  <c r="G17" i="7" s="1"/>
  <c r="J27" i="2"/>
  <c r="K27" i="2"/>
  <c r="G16" i="7" s="1"/>
  <c r="G25" i="2"/>
  <c r="I19" i="8" s="1"/>
  <c r="H27" i="2"/>
  <c r="F25" i="2"/>
  <c r="I25" i="2"/>
  <c r="I18" i="8" s="1"/>
  <c r="J121" i="1" l="1"/>
  <c r="H197" i="1"/>
  <c r="E17" i="8"/>
  <c r="K17" i="8" s="1"/>
  <c r="C17" i="8"/>
  <c r="E18" i="8"/>
  <c r="C18" i="8"/>
  <c r="E19" i="8"/>
  <c r="K19" i="8" s="1"/>
  <c r="C19" i="8"/>
  <c r="G19" i="8" s="1"/>
  <c r="H86" i="1"/>
  <c r="H91" i="1" s="1"/>
  <c r="J43" i="1"/>
  <c r="J38" i="1"/>
  <c r="H53" i="1" s="1"/>
  <c r="G18" i="8" l="1"/>
  <c r="G17" i="8"/>
  <c r="H90" i="1"/>
  <c r="H89" i="1"/>
  <c r="H92" i="1"/>
  <c r="H202" i="1"/>
  <c r="K18" i="8"/>
  <c r="J151" i="1"/>
  <c r="F54" i="1"/>
  <c r="H143" i="1" s="1"/>
  <c r="I17" i="7"/>
  <c r="F56" i="1"/>
  <c r="J145" i="1" s="1"/>
  <c r="H54" i="1"/>
  <c r="H56" i="1"/>
  <c r="H118" i="1"/>
  <c r="J62" i="1"/>
  <c r="J86" i="1"/>
  <c r="H50" i="1"/>
  <c r="F50" i="1"/>
  <c r="J61" i="1"/>
  <c r="J178" i="1" s="1"/>
  <c r="H178" i="1" l="1"/>
  <c r="H121" i="1"/>
  <c r="K121" i="1" s="1"/>
  <c r="K55" i="1"/>
  <c r="J176" i="1" s="1"/>
  <c r="D18" i="4" s="1"/>
  <c r="G91" i="11" s="1"/>
  <c r="G94" i="11" s="1"/>
  <c r="I16" i="7"/>
  <c r="E133" i="10"/>
  <c r="A140" i="10" s="1"/>
  <c r="C49" i="4"/>
  <c r="E49" i="11" s="1"/>
  <c r="J198" i="1"/>
  <c r="D36" i="4" s="1"/>
  <c r="G49" i="11" s="1"/>
  <c r="C35" i="4"/>
  <c r="E122" i="11" s="1"/>
  <c r="K56" i="1"/>
  <c r="J177" i="1" s="1"/>
  <c r="J203" i="1"/>
  <c r="J92" i="1"/>
  <c r="L92" i="1" s="1"/>
  <c r="J90" i="1"/>
  <c r="K90" i="1" s="1"/>
  <c r="J91" i="1"/>
  <c r="L91" i="1" s="1"/>
  <c r="J89" i="1"/>
  <c r="K89" i="1" s="1"/>
  <c r="J54" i="1"/>
  <c r="H175" i="1" s="1"/>
  <c r="H142" i="1"/>
  <c r="J146" i="1" s="1"/>
  <c r="J53" i="1"/>
  <c r="J63" i="1"/>
  <c r="H176" i="1" l="1"/>
  <c r="C18" i="4" s="1"/>
  <c r="E91" i="11" s="1"/>
  <c r="M90" i="11" s="1"/>
  <c r="M94" i="11" s="1"/>
  <c r="H177" i="1"/>
  <c r="C19" i="4" s="1"/>
  <c r="L93" i="1"/>
  <c r="C5" i="4"/>
  <c r="E34" i="11" s="1"/>
  <c r="C38" i="4"/>
  <c r="E124" i="12" s="1"/>
  <c r="D50" i="4"/>
  <c r="G122" i="11" s="1"/>
  <c r="H174" i="1"/>
  <c r="J174" i="1"/>
  <c r="D16" i="4" s="1"/>
  <c r="G35" i="11" s="1"/>
  <c r="G44" i="11" s="1"/>
  <c r="J175" i="1"/>
  <c r="D17" i="4" s="1"/>
  <c r="G48" i="11" s="1"/>
  <c r="G53" i="11" s="1"/>
  <c r="K93" i="1"/>
  <c r="K124" i="1"/>
  <c r="C16" i="4" l="1"/>
  <c r="E35" i="11" s="1"/>
  <c r="M34" i="11" s="1"/>
  <c r="M44" i="11" s="1"/>
  <c r="E94" i="11"/>
  <c r="L95" i="1"/>
  <c r="G56" i="11"/>
  <c r="D52" i="4"/>
  <c r="G125" i="12" s="1"/>
  <c r="K95" i="1"/>
  <c r="K125" i="1"/>
  <c r="E44" i="11" l="1"/>
  <c r="J97" i="1"/>
  <c r="J98" i="1" l="1"/>
  <c r="B21" i="3" s="1"/>
  <c r="J133" i="1"/>
  <c r="J135" i="1" s="1"/>
  <c r="J12" i="3"/>
  <c r="Q21" i="3" l="1"/>
  <c r="P21" i="3"/>
  <c r="N21" i="3"/>
  <c r="O21" i="3"/>
  <c r="B37" i="3"/>
  <c r="B58" i="3"/>
  <c r="M17" i="3"/>
  <c r="K17" i="3"/>
  <c r="L17" i="3"/>
  <c r="J17" i="3"/>
  <c r="B33" i="3"/>
  <c r="B54" i="3"/>
  <c r="H133" i="1"/>
  <c r="H135" i="1" s="1"/>
  <c r="H183" i="1" s="1"/>
  <c r="I14" i="3"/>
  <c r="J186" i="1"/>
  <c r="H184" i="1"/>
  <c r="G14" i="3"/>
  <c r="B51" i="3"/>
  <c r="B30" i="3"/>
  <c r="H14" i="3"/>
  <c r="G13" i="3"/>
  <c r="I13" i="3"/>
  <c r="H13" i="3"/>
  <c r="F13" i="3"/>
  <c r="R21" i="3" l="1"/>
  <c r="O58" i="3"/>
  <c r="N58" i="3"/>
  <c r="Q58" i="3"/>
  <c r="P58" i="3"/>
  <c r="N37" i="3"/>
  <c r="Q37" i="3"/>
  <c r="P37" i="3"/>
  <c r="O37" i="3"/>
  <c r="M54" i="3"/>
  <c r="J54" i="3"/>
  <c r="K34" i="3"/>
  <c r="N34" i="3"/>
  <c r="M34" i="3"/>
  <c r="L34" i="3"/>
  <c r="N17" i="3"/>
  <c r="L54" i="3"/>
  <c r="K54" i="3"/>
  <c r="M33" i="3"/>
  <c r="L33" i="3"/>
  <c r="J33" i="3"/>
  <c r="K33" i="3"/>
  <c r="J185" i="1"/>
  <c r="H191" i="1" s="1"/>
  <c r="I16" i="3"/>
  <c r="J16" i="3"/>
  <c r="K16" i="3"/>
  <c r="L16" i="3"/>
  <c r="B53" i="3"/>
  <c r="B32" i="3"/>
  <c r="K15" i="3"/>
  <c r="I15" i="3"/>
  <c r="H15" i="3"/>
  <c r="J15" i="3"/>
  <c r="B52" i="3"/>
  <c r="B31" i="3"/>
  <c r="J14" i="3"/>
  <c r="K14" i="3" s="1"/>
  <c r="G30" i="3"/>
  <c r="G39" i="3" s="1"/>
  <c r="H30" i="3"/>
  <c r="J30" i="3"/>
  <c r="I30" i="3"/>
  <c r="H51" i="3"/>
  <c r="G51" i="3"/>
  <c r="G60" i="3" s="1"/>
  <c r="I51" i="3"/>
  <c r="J51" i="3"/>
  <c r="J13" i="3"/>
  <c r="R58" i="3" l="1"/>
  <c r="N62" i="3" s="1"/>
  <c r="F130" i="10" s="1"/>
  <c r="Q60" i="3"/>
  <c r="R37" i="3"/>
  <c r="Q41" i="3" s="1"/>
  <c r="P39" i="3"/>
  <c r="O34" i="3"/>
  <c r="N54" i="3"/>
  <c r="N33" i="3"/>
  <c r="M16" i="3"/>
  <c r="I53" i="3"/>
  <c r="L53" i="3"/>
  <c r="K53" i="3"/>
  <c r="J53" i="3"/>
  <c r="L32" i="3"/>
  <c r="I32" i="3"/>
  <c r="K32" i="3"/>
  <c r="J32" i="3"/>
  <c r="L15" i="3"/>
  <c r="K31" i="3"/>
  <c r="I31" i="3"/>
  <c r="J31" i="3"/>
  <c r="H31" i="3"/>
  <c r="H39" i="3" s="1"/>
  <c r="K52" i="3"/>
  <c r="H52" i="3"/>
  <c r="J52" i="3"/>
  <c r="I52" i="3"/>
  <c r="K51" i="3"/>
  <c r="K30" i="3"/>
  <c r="G41" i="3" s="1"/>
  <c r="P62" i="3" l="1"/>
  <c r="M62" i="3"/>
  <c r="J158" i="1" s="1"/>
  <c r="H169" i="1"/>
  <c r="M41" i="3"/>
  <c r="H157" i="1" s="1"/>
  <c r="J167" i="1"/>
  <c r="O62" i="3"/>
  <c r="N41" i="3"/>
  <c r="E130" i="10" s="1"/>
  <c r="R60" i="3"/>
  <c r="Q62" i="3"/>
  <c r="R39" i="3"/>
  <c r="O41" i="3"/>
  <c r="P41" i="3"/>
  <c r="Q39" i="3"/>
  <c r="J39" i="3"/>
  <c r="P60" i="3"/>
  <c r="I39" i="3"/>
  <c r="O39" i="3"/>
  <c r="K39" i="3"/>
  <c r="N39" i="3"/>
  <c r="O60" i="3"/>
  <c r="N60" i="3"/>
  <c r="I60" i="3"/>
  <c r="M53" i="3"/>
  <c r="M32" i="3"/>
  <c r="L41" i="3" s="1"/>
  <c r="J60" i="3"/>
  <c r="L31" i="3"/>
  <c r="L52" i="3"/>
  <c r="H60" i="3"/>
  <c r="K60" i="3"/>
  <c r="G62" i="3"/>
  <c r="K41" i="3" l="1"/>
  <c r="C17" i="4"/>
  <c r="E48" i="11" s="1"/>
  <c r="L62" i="3"/>
  <c r="H41" i="3"/>
  <c r="D19" i="4"/>
  <c r="G100" i="11" s="1"/>
  <c r="K62" i="3"/>
  <c r="L39" i="3"/>
  <c r="M39" i="3"/>
  <c r="J62" i="3"/>
  <c r="I41" i="3"/>
  <c r="J41" i="3"/>
  <c r="M60" i="3"/>
  <c r="I62" i="3"/>
  <c r="H62" i="3"/>
  <c r="L60" i="3"/>
  <c r="H168" i="1" l="1"/>
  <c r="C6" i="4"/>
  <c r="E47" i="11" s="1"/>
  <c r="M47" i="11" s="1"/>
  <c r="M53" i="11" s="1"/>
  <c r="M56" i="11" s="1"/>
  <c r="F135" i="10"/>
  <c r="E100" i="11"/>
  <c r="J168" i="1"/>
  <c r="D20" i="4" l="1"/>
  <c r="G121" i="11"/>
  <c r="E53" i="11"/>
  <c r="E56" i="11" s="1"/>
  <c r="C156" i="10"/>
  <c r="D8" i="4"/>
  <c r="G99" i="11" s="1"/>
  <c r="G103" i="11" s="1"/>
  <c r="H159" i="1"/>
  <c r="J159" i="1"/>
  <c r="C20" i="4"/>
  <c r="E103" i="11"/>
  <c r="D22" i="4" l="1"/>
  <c r="G123" i="12" s="1"/>
  <c r="G156" i="12" s="1"/>
  <c r="G290" i="12" s="1"/>
  <c r="G292" i="12" s="1"/>
  <c r="M99" i="11"/>
  <c r="M103" i="11" s="1"/>
  <c r="D9" i="4"/>
  <c r="G120" i="11" s="1"/>
  <c r="G128" i="11" s="1"/>
  <c r="G131" i="11" s="1"/>
  <c r="E121" i="11"/>
  <c r="E128" i="11" s="1"/>
  <c r="E131" i="11" s="1"/>
  <c r="C22" i="4"/>
  <c r="E123" i="12" s="1"/>
  <c r="E156" i="12" s="1"/>
  <c r="E290" i="12" s="1"/>
  <c r="E292" i="12" s="1"/>
  <c r="D11" i="4" l="1"/>
  <c r="G314" i="12" s="1"/>
  <c r="M314" i="12" s="1"/>
  <c r="M323" i="12" s="1"/>
  <c r="M123" i="12"/>
  <c r="B115" i="10" s="1"/>
  <c r="M120" i="11"/>
  <c r="M128" i="11" s="1"/>
  <c r="M131" i="11" s="1"/>
  <c r="M156" i="12" l="1"/>
  <c r="M290" i="12" s="1"/>
  <c r="M292" i="12" s="1"/>
  <c r="M310" i="12" l="1"/>
  <c r="M325" i="12" s="1"/>
  <c r="E13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Fortin, Rod</author>
  </authors>
  <commentList>
    <comment ref="B11" authorId="0" shapeId="0" xr:uid="{A21867C1-0AE0-4673-A49D-A052BCF318F9}">
      <text>
        <r>
          <rPr>
            <b/>
            <sz val="9"/>
            <color indexed="81"/>
            <rFont val="Tahoma"/>
            <family val="2"/>
          </rPr>
          <t xml:space="preserve">Fortin, Rod:
</t>
        </r>
        <r>
          <rPr>
            <sz val="9"/>
            <color indexed="81"/>
            <rFont val="Tahoma"/>
            <family val="2"/>
          </rPr>
          <t>"</t>
        </r>
        <r>
          <rPr>
            <b/>
            <u/>
            <sz val="9"/>
            <color indexed="81"/>
            <rFont val="Tahoma"/>
            <family val="2"/>
          </rPr>
          <t>Total difference</t>
        </r>
        <r>
          <rPr>
            <sz val="9"/>
            <color indexed="81"/>
            <rFont val="Tahoma"/>
            <family val="2"/>
          </rPr>
          <t>" in prior year.</t>
        </r>
      </text>
    </comment>
    <comment ref="B12" authorId="0" shapeId="0" xr:uid="{286169DC-C28C-428A-A388-AF7D631785FE}">
      <text>
        <r>
          <rPr>
            <b/>
            <sz val="9"/>
            <color indexed="81"/>
            <rFont val="Tahoma"/>
            <family val="2"/>
          </rPr>
          <t xml:space="preserve">Fortin, Rod:
</t>
        </r>
        <r>
          <rPr>
            <b/>
            <u/>
            <sz val="9"/>
            <color indexed="81"/>
            <rFont val="Tahoma"/>
            <family val="2"/>
          </rPr>
          <t>"Total difference</t>
        </r>
        <r>
          <rPr>
            <sz val="9"/>
            <color indexed="81"/>
            <rFont val="Tahoma"/>
            <family val="2"/>
          </rPr>
          <t>" in prior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Fortin, Rod</author>
  </authors>
  <commentList>
    <comment ref="B11" authorId="0" shapeId="0" xr:uid="{00000000-0006-0000-0300-000001000000}">
      <text>
        <r>
          <rPr>
            <b/>
            <sz val="9"/>
            <color indexed="81"/>
            <rFont val="Tahoma"/>
            <family val="2"/>
          </rPr>
          <t>Fortin, Rod:</t>
        </r>
        <r>
          <rPr>
            <sz val="9"/>
            <color indexed="81"/>
            <rFont val="Tahoma"/>
            <family val="2"/>
          </rPr>
          <t xml:space="preserve">
Should equal the net position entry for beginning pension amts.
</t>
        </r>
      </text>
    </comment>
    <comment ref="E11" authorId="0" shapeId="0" xr:uid="{00000000-0006-0000-0300-000002000000}">
      <text>
        <r>
          <rPr>
            <b/>
            <sz val="9"/>
            <color indexed="81"/>
            <rFont val="Tahoma"/>
            <family val="2"/>
          </rPr>
          <t>Fortin, Rod:</t>
        </r>
        <r>
          <rPr>
            <sz val="9"/>
            <color indexed="81"/>
            <rFont val="Tahoma"/>
            <family val="2"/>
          </rPr>
          <t xml:space="preserve">
This is the third leg of this entry to keep the statements in balance.</t>
        </r>
      </text>
    </comment>
    <comment ref="B22" authorId="0" shapeId="0" xr:uid="{00000000-0006-0000-0300-000003000000}">
      <text>
        <r>
          <rPr>
            <b/>
            <sz val="9"/>
            <color indexed="81"/>
            <rFont val="Tahoma"/>
            <family val="2"/>
          </rPr>
          <t>Fortin, Rod:</t>
        </r>
        <r>
          <rPr>
            <sz val="9"/>
            <color indexed="81"/>
            <rFont val="Tahoma"/>
            <family val="2"/>
          </rPr>
          <t xml:space="preserve">
pension expense or 
revenue s/b allocated to appropriate function/program.
</t>
        </r>
      </text>
    </comment>
    <comment ref="E22" authorId="0" shapeId="0" xr:uid="{00000000-0006-0000-0300-000004000000}">
      <text>
        <r>
          <rPr>
            <b/>
            <sz val="9"/>
            <color indexed="81"/>
            <rFont val="Tahoma"/>
            <family val="2"/>
          </rPr>
          <t>Fortin, Rod:</t>
        </r>
        <r>
          <rPr>
            <sz val="9"/>
            <color indexed="81"/>
            <rFont val="Tahoma"/>
            <family val="2"/>
          </rPr>
          <t xml:space="preserve">
This is the third leg of this entry to keep the statements in balance.</t>
        </r>
      </text>
    </comment>
    <comment ref="E23" authorId="0" shapeId="0" xr:uid="{00000000-0006-0000-0300-000005000000}">
      <text>
        <r>
          <rPr>
            <b/>
            <sz val="9"/>
            <color indexed="81"/>
            <rFont val="Tahoma"/>
            <family val="2"/>
          </rPr>
          <t>Fortin, Rod:</t>
        </r>
        <r>
          <rPr>
            <sz val="9"/>
            <color indexed="81"/>
            <rFont val="Tahoma"/>
            <family val="2"/>
          </rPr>
          <t xml:space="preserve">
This is the third leg of this entry to keep the statements in balance.</t>
        </r>
      </text>
    </comment>
    <comment ref="E24" authorId="0" shapeId="0" xr:uid="{00000000-0006-0000-0300-000006000000}">
      <text>
        <r>
          <rPr>
            <b/>
            <sz val="9"/>
            <color indexed="81"/>
            <rFont val="Tahoma"/>
            <family val="2"/>
          </rPr>
          <t>Fortin, Rod:</t>
        </r>
        <r>
          <rPr>
            <sz val="9"/>
            <color indexed="81"/>
            <rFont val="Tahoma"/>
            <family val="2"/>
          </rPr>
          <t xml:space="preserve">
This is the third leg of this entry to keep the statements in balance.</t>
        </r>
      </text>
    </comment>
    <comment ref="E25" authorId="0" shapeId="0" xr:uid="{00000000-0006-0000-0300-000007000000}">
      <text>
        <r>
          <rPr>
            <b/>
            <sz val="9"/>
            <color indexed="81"/>
            <rFont val="Tahoma"/>
            <family val="2"/>
          </rPr>
          <t>Fortin, Rod:</t>
        </r>
        <r>
          <rPr>
            <sz val="9"/>
            <color indexed="81"/>
            <rFont val="Tahoma"/>
            <family val="2"/>
          </rPr>
          <t xml:space="preserve">
This is the third leg of this entry to keep the statements in balance.</t>
        </r>
      </text>
    </comment>
    <comment ref="E26" authorId="0" shapeId="0" xr:uid="{00000000-0006-0000-0300-000008000000}">
      <text>
        <r>
          <rPr>
            <b/>
            <sz val="9"/>
            <color indexed="81"/>
            <rFont val="Tahoma"/>
            <family val="2"/>
          </rPr>
          <t>Fortin, Rod:</t>
        </r>
        <r>
          <rPr>
            <sz val="9"/>
            <color indexed="81"/>
            <rFont val="Tahoma"/>
            <family val="2"/>
          </rPr>
          <t xml:space="preserve">
This is the third leg of this entry to keep the statements in balance.</t>
        </r>
      </text>
    </comment>
    <comment ref="E27" authorId="0" shapeId="0" xr:uid="{00000000-0006-0000-0300-000009000000}">
      <text>
        <r>
          <rPr>
            <b/>
            <sz val="9"/>
            <color indexed="81"/>
            <rFont val="Tahoma"/>
            <family val="2"/>
          </rPr>
          <t>Fortin, Rod:</t>
        </r>
        <r>
          <rPr>
            <sz val="9"/>
            <color indexed="81"/>
            <rFont val="Tahoma"/>
            <family val="2"/>
          </rPr>
          <t xml:space="preserve">
This is the third leg of this entry to keep the statements in balance.</t>
        </r>
      </text>
    </comment>
    <comment ref="E28" authorId="0" shapeId="0" xr:uid="{00000000-0006-0000-0300-00000A000000}">
      <text>
        <r>
          <rPr>
            <b/>
            <sz val="9"/>
            <color indexed="81"/>
            <rFont val="Tahoma"/>
            <family val="2"/>
          </rPr>
          <t>Fortin, Rod:</t>
        </r>
        <r>
          <rPr>
            <sz val="9"/>
            <color indexed="81"/>
            <rFont val="Tahoma"/>
            <family val="2"/>
          </rPr>
          <t xml:space="preserve">
This is the third leg of this entry to keep the statements in balance.</t>
        </r>
      </text>
    </comment>
    <comment ref="E29" authorId="0" shapeId="0" xr:uid="{00000000-0006-0000-0300-00000B000000}">
      <text>
        <r>
          <rPr>
            <b/>
            <sz val="9"/>
            <color indexed="81"/>
            <rFont val="Tahoma"/>
            <family val="2"/>
          </rPr>
          <t>Fortin, Rod:</t>
        </r>
        <r>
          <rPr>
            <sz val="9"/>
            <color indexed="81"/>
            <rFont val="Tahoma"/>
            <family val="2"/>
          </rPr>
          <t xml:space="preserve">
This is the third leg of this entry to keep the statements in balance.</t>
        </r>
      </text>
    </comment>
    <comment ref="E38" authorId="0" shapeId="0" xr:uid="{00000000-0006-0000-0300-00000C000000}">
      <text>
        <r>
          <rPr>
            <b/>
            <sz val="9"/>
            <color indexed="81"/>
            <rFont val="Tahoma"/>
            <family val="2"/>
          </rPr>
          <t>Fortin, Rod:</t>
        </r>
        <r>
          <rPr>
            <sz val="9"/>
            <color indexed="81"/>
            <rFont val="Tahoma"/>
            <family val="2"/>
          </rPr>
          <t xml:space="preserve">
This is the third leg of this entry to keep the statements in balance.</t>
        </r>
      </text>
    </comment>
    <comment ref="E39" authorId="0" shapeId="0" xr:uid="{00000000-0006-0000-0300-00000D000000}">
      <text>
        <r>
          <rPr>
            <b/>
            <sz val="9"/>
            <color indexed="81"/>
            <rFont val="Tahoma"/>
            <family val="2"/>
          </rPr>
          <t>Fortin, Rod:</t>
        </r>
        <r>
          <rPr>
            <sz val="9"/>
            <color indexed="81"/>
            <rFont val="Tahoma"/>
            <family val="2"/>
          </rPr>
          <t xml:space="preserve">
This is the third leg of this entry to keep the statements in balance.</t>
        </r>
      </text>
    </comment>
    <comment ref="E40" authorId="0" shapeId="0" xr:uid="{00000000-0006-0000-0300-00000E000000}">
      <text>
        <r>
          <rPr>
            <b/>
            <sz val="9"/>
            <color indexed="81"/>
            <rFont val="Tahoma"/>
            <family val="2"/>
          </rPr>
          <t>Fortin, Rod:</t>
        </r>
        <r>
          <rPr>
            <sz val="9"/>
            <color indexed="81"/>
            <rFont val="Tahoma"/>
            <family val="2"/>
          </rPr>
          <t xml:space="preserve">
This is the third leg of this entry to keep the statements in balance.</t>
        </r>
      </text>
    </comment>
    <comment ref="E41" authorId="0" shapeId="0" xr:uid="{00000000-0006-0000-0300-00000F000000}">
      <text>
        <r>
          <rPr>
            <b/>
            <sz val="9"/>
            <color indexed="81"/>
            <rFont val="Tahoma"/>
            <family val="2"/>
          </rPr>
          <t>Fortin, Rod:</t>
        </r>
        <r>
          <rPr>
            <sz val="9"/>
            <color indexed="81"/>
            <rFont val="Tahoma"/>
            <family val="2"/>
          </rPr>
          <t xml:space="preserve">
This is the third leg of this entry to keep the statements in balance.</t>
        </r>
      </text>
    </comment>
    <comment ref="E42" authorId="0" shapeId="0" xr:uid="{00000000-0006-0000-0300-000010000000}">
      <text>
        <r>
          <rPr>
            <b/>
            <sz val="9"/>
            <color indexed="81"/>
            <rFont val="Tahoma"/>
            <family val="2"/>
          </rPr>
          <t>Fortin, Rod:</t>
        </r>
        <r>
          <rPr>
            <sz val="9"/>
            <color indexed="81"/>
            <rFont val="Tahoma"/>
            <family val="2"/>
          </rPr>
          <t xml:space="preserve">
This is the third leg of this entry to keep the statements in balance.</t>
        </r>
      </text>
    </comment>
    <comment ref="E43" authorId="0" shapeId="0" xr:uid="{00000000-0006-0000-0300-000011000000}">
      <text>
        <r>
          <rPr>
            <b/>
            <sz val="9"/>
            <color indexed="81"/>
            <rFont val="Tahoma"/>
            <family val="2"/>
          </rPr>
          <t>Fortin, Rod:</t>
        </r>
        <r>
          <rPr>
            <sz val="9"/>
            <color indexed="81"/>
            <rFont val="Tahoma"/>
            <family val="2"/>
          </rPr>
          <t xml:space="preserve">
This is the third leg of this entry to keep the statements in balance.</t>
        </r>
      </text>
    </comment>
    <comment ref="E44" authorId="0" shapeId="0" xr:uid="{00000000-0006-0000-0300-000012000000}">
      <text>
        <r>
          <rPr>
            <b/>
            <sz val="9"/>
            <color indexed="81"/>
            <rFont val="Tahoma"/>
            <family val="2"/>
          </rPr>
          <t>Fortin, Rod:</t>
        </r>
        <r>
          <rPr>
            <sz val="9"/>
            <color indexed="81"/>
            <rFont val="Tahoma"/>
            <family val="2"/>
          </rPr>
          <t xml:space="preserve">
This is the third leg of this entry to keep the statements in balance.</t>
        </r>
      </text>
    </comment>
    <comment ref="E45" authorId="0" shapeId="0" xr:uid="{00000000-0006-0000-0300-000013000000}">
      <text>
        <r>
          <rPr>
            <b/>
            <sz val="9"/>
            <color indexed="81"/>
            <rFont val="Tahoma"/>
            <family val="2"/>
          </rPr>
          <t>Fortin, Rod:</t>
        </r>
        <r>
          <rPr>
            <sz val="9"/>
            <color indexed="81"/>
            <rFont val="Tahoma"/>
            <family val="2"/>
          </rPr>
          <t xml:space="preserve">
This is the third leg of this entry to keep the statements in balance.</t>
        </r>
      </text>
    </comment>
    <comment ref="E52" authorId="0" shapeId="0" xr:uid="{00000000-0006-0000-0300-000014000000}">
      <text>
        <r>
          <rPr>
            <b/>
            <sz val="9"/>
            <color indexed="81"/>
            <rFont val="Tahoma"/>
            <family val="2"/>
          </rPr>
          <t>Fortin, Rod:</t>
        </r>
        <r>
          <rPr>
            <sz val="9"/>
            <color indexed="81"/>
            <rFont val="Tahoma"/>
            <family val="2"/>
          </rPr>
          <t xml:space="preserve">
This is the third leg of this entry to keep the statements in balance.</t>
        </r>
      </text>
    </comment>
    <comment ref="E53" authorId="0" shapeId="0" xr:uid="{00000000-0006-0000-0300-000015000000}">
      <text>
        <r>
          <rPr>
            <b/>
            <sz val="9"/>
            <color indexed="81"/>
            <rFont val="Tahoma"/>
            <family val="2"/>
          </rPr>
          <t>Fortin, Rod:</t>
        </r>
        <r>
          <rPr>
            <sz val="9"/>
            <color indexed="81"/>
            <rFont val="Tahoma"/>
            <family val="2"/>
          </rPr>
          <t xml:space="preserve">
This is the third leg of this entry to keep the statements in balance.</t>
        </r>
      </text>
    </comment>
    <comment ref="E54" authorId="0" shapeId="0" xr:uid="{00000000-0006-0000-0300-000016000000}">
      <text>
        <r>
          <rPr>
            <b/>
            <sz val="9"/>
            <color indexed="81"/>
            <rFont val="Tahoma"/>
            <family val="2"/>
          </rPr>
          <t>Fortin, Rod:</t>
        </r>
        <r>
          <rPr>
            <sz val="9"/>
            <color indexed="81"/>
            <rFont val="Tahoma"/>
            <family val="2"/>
          </rPr>
          <t xml:space="preserve">
This is the third leg of this entry to keep the statements in balance.</t>
        </r>
      </text>
    </comment>
    <comment ref="E55" authorId="0" shapeId="0" xr:uid="{00000000-0006-0000-0300-000017000000}">
      <text>
        <r>
          <rPr>
            <b/>
            <sz val="9"/>
            <color indexed="81"/>
            <rFont val="Tahoma"/>
            <family val="2"/>
          </rPr>
          <t>Fortin, Rod:</t>
        </r>
        <r>
          <rPr>
            <sz val="9"/>
            <color indexed="81"/>
            <rFont val="Tahoma"/>
            <family val="2"/>
          </rPr>
          <t xml:space="preserve">
This is the third leg of this entry to keep the statements in balance.</t>
        </r>
      </text>
    </comment>
    <comment ref="E56" authorId="0" shapeId="0" xr:uid="{00000000-0006-0000-0300-000018000000}">
      <text>
        <r>
          <rPr>
            <b/>
            <sz val="9"/>
            <color indexed="81"/>
            <rFont val="Tahoma"/>
            <family val="2"/>
          </rPr>
          <t>Fortin, Rod:</t>
        </r>
        <r>
          <rPr>
            <sz val="9"/>
            <color indexed="81"/>
            <rFont val="Tahoma"/>
            <family val="2"/>
          </rPr>
          <t xml:space="preserve">
This is the third leg of this entry to keep the statements in balance.</t>
        </r>
      </text>
    </comment>
    <comment ref="E57" authorId="0" shapeId="0" xr:uid="{00000000-0006-0000-0300-000019000000}">
      <text>
        <r>
          <rPr>
            <b/>
            <sz val="9"/>
            <color indexed="81"/>
            <rFont val="Tahoma"/>
            <family val="2"/>
          </rPr>
          <t>Fortin, Rod:</t>
        </r>
        <r>
          <rPr>
            <sz val="9"/>
            <color indexed="81"/>
            <rFont val="Tahoma"/>
            <family val="2"/>
          </rPr>
          <t xml:space="preserve">
This is the third leg of this entry to keep the statements in balance.</t>
        </r>
      </text>
    </comment>
    <comment ref="E58" authorId="0" shapeId="0" xr:uid="{00000000-0006-0000-0300-00001A000000}">
      <text>
        <r>
          <rPr>
            <b/>
            <sz val="9"/>
            <color indexed="81"/>
            <rFont val="Tahoma"/>
            <family val="2"/>
          </rPr>
          <t>Fortin, Rod:</t>
        </r>
        <r>
          <rPr>
            <sz val="9"/>
            <color indexed="81"/>
            <rFont val="Tahoma"/>
            <family val="2"/>
          </rPr>
          <t xml:space="preserve">
This is the third leg of this entry to keep the statements in balance.</t>
        </r>
      </text>
    </comment>
    <comment ref="E59" authorId="0" shapeId="0" xr:uid="{00000000-0006-0000-0300-00001B000000}">
      <text>
        <r>
          <rPr>
            <b/>
            <sz val="9"/>
            <color indexed="81"/>
            <rFont val="Tahoma"/>
            <family val="2"/>
          </rPr>
          <t>Fortin, Rod:</t>
        </r>
        <r>
          <rPr>
            <sz val="9"/>
            <color indexed="81"/>
            <rFont val="Tahoma"/>
            <family val="2"/>
          </rPr>
          <t xml:space="preserve">
This is the third leg of this entry to keep the statements in balance.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lgpr13595</author>
    <author>lgpr16436</author>
  </authors>
  <commentList>
    <comment ref="N298" authorId="0" shapeId="0" xr:uid="{00000000-0006-0000-0500-000001000000}">
      <text>
        <r>
          <rPr>
            <b/>
            <sz val="10"/>
            <color indexed="81"/>
            <rFont val="Tahoma"/>
            <family val="2"/>
          </rPr>
          <t>GASB 42 Insurance Recoveries Requires:
A.  Net against current year cost
B.  A program revenue
C.  An extraordinary item</t>
        </r>
      </text>
    </comment>
    <comment ref="A301" authorId="0" shapeId="0" xr:uid="{00000000-0006-0000-0500-000002000000}">
      <text>
        <r>
          <rPr>
            <b/>
            <sz val="10"/>
            <color indexed="81"/>
            <rFont val="Tahoma"/>
            <family val="2"/>
          </rPr>
          <t>This account should only report refinancing payments made from resources of the refunding issue (not resources from cash on hand which are to be reported as "debt service" expenditure)</t>
        </r>
      </text>
    </comment>
    <comment ref="A306" authorId="1" shapeId="0" xr:uid="{00000000-0006-0000-0500-000003000000}">
      <text>
        <r>
          <rPr>
            <b/>
            <sz val="8"/>
            <color indexed="81"/>
            <rFont val="Tahoma"/>
            <family val="2"/>
          </rPr>
          <t>Amounts reported should be detailed, e.g., Sale of Parkland.</t>
        </r>
      </text>
    </comment>
    <comment ref="A307" authorId="1" shapeId="0" xr:uid="{00000000-0006-0000-0500-000004000000}">
      <text>
        <r>
          <rPr>
            <b/>
            <sz val="8"/>
            <color indexed="81"/>
            <rFont val="Tahoma"/>
            <family val="2"/>
          </rPr>
          <t>Amounts reported should be detailed, e.g., Sale of Parkland.</t>
        </r>
      </text>
    </comment>
  </commentList>
</comments>
</file>

<file path=xl/sharedStrings.xml><?xml version="1.0" encoding="utf-8"?>
<sst xmlns="http://schemas.openxmlformats.org/spreadsheetml/2006/main" count="1257" uniqueCount="960">
  <si>
    <t>Disclaimer:  This worksheet is for informational/educational purposes only and should not be used to replace the advice of a qualified</t>
  </si>
  <si>
    <t xml:space="preserve">professional.  It is not intended to be a substitute for professional advice whether actuarial, accounting, legal or otherwise.  While efforts </t>
  </si>
  <si>
    <t>are made to verify the information, DLA does not guarantee the accuracy or completeness of the information.</t>
  </si>
  <si>
    <t>Modifications and additional information will have to be made and added in subsequent fiscal years.  Some formulas have been included and</t>
  </si>
  <si>
    <t xml:space="preserve">linked, however it was not designed to include all formulas because of varying attributes. </t>
  </si>
  <si>
    <t>SDRS has provided the following information In their Schedule of Employer Allocations</t>
  </si>
  <si>
    <t>and Collective Pension Amounts</t>
  </si>
  <si>
    <t>Employer</t>
  </si>
  <si>
    <t xml:space="preserve">Average </t>
  </si>
  <si>
    <t xml:space="preserve">Employer </t>
  </si>
  <si>
    <t>Total Employer</t>
  </si>
  <si>
    <t>Proportionate</t>
  </si>
  <si>
    <t xml:space="preserve">Remaining </t>
  </si>
  <si>
    <t>Number</t>
  </si>
  <si>
    <t>Name</t>
  </si>
  <si>
    <t>Contributions</t>
  </si>
  <si>
    <t>Allocation</t>
  </si>
  <si>
    <t>Example Entity</t>
  </si>
  <si>
    <t>STEP 1</t>
  </si>
  <si>
    <r>
      <t xml:space="preserve">SDRS provides the employers the </t>
    </r>
    <r>
      <rPr>
        <b/>
        <u/>
        <sz val="12"/>
        <color theme="1"/>
        <rFont val="Arial"/>
        <family val="2"/>
      </rPr>
      <t>collective</t>
    </r>
    <r>
      <rPr>
        <b/>
        <sz val="12"/>
        <color theme="1"/>
        <rFont val="Arial"/>
        <family val="2"/>
      </rPr>
      <t xml:space="preserve"> values of:</t>
    </r>
  </si>
  <si>
    <t xml:space="preserve">● Deferred outflows/Inflows </t>
  </si>
  <si>
    <t>● Net Pension Liability (Asset)</t>
  </si>
  <si>
    <t>Collective deferred outflows of resources</t>
  </si>
  <si>
    <t>Collective deferred inflows of resources</t>
  </si>
  <si>
    <t>Collective net pension liability (asset)</t>
  </si>
  <si>
    <t>Employer's proportion</t>
  </si>
  <si>
    <t>STEP 2</t>
  </si>
  <si>
    <r>
      <t xml:space="preserve">Employer calculates </t>
    </r>
    <r>
      <rPr>
        <b/>
        <u/>
        <sz val="12"/>
        <color theme="1"/>
        <rFont val="Arial"/>
        <family val="2"/>
      </rPr>
      <t>proportionate shares of collective</t>
    </r>
    <r>
      <rPr>
        <b/>
        <sz val="12"/>
        <color theme="1"/>
        <rFont val="Arial"/>
        <family val="2"/>
      </rPr>
      <t xml:space="preserve"> balances</t>
    </r>
  </si>
  <si>
    <t>Proportionate Share</t>
  </si>
  <si>
    <t xml:space="preserve">Collective </t>
  </si>
  <si>
    <t xml:space="preserve">Proportionate </t>
  </si>
  <si>
    <t>Measure</t>
  </si>
  <si>
    <t>Share</t>
  </si>
  <si>
    <t>STEP 3</t>
  </si>
  <si>
    <t xml:space="preserve">  Annual changes in Net Pension Liability (Asset) will generally be reported as pension expense</t>
  </si>
  <si>
    <r>
      <rPr>
        <b/>
        <u/>
        <sz val="12"/>
        <color theme="1"/>
        <rFont val="Arial"/>
        <family val="2"/>
      </rPr>
      <t>Plan Level</t>
    </r>
    <r>
      <rPr>
        <sz val="12"/>
        <color theme="1"/>
        <rFont val="Arial"/>
        <family val="2"/>
      </rPr>
      <t xml:space="preserve">--  Provided by SDRS in the Notes to Schedule of Employer Allocations and Collective Pension </t>
    </r>
  </si>
  <si>
    <t>● Annual amortization of experience gain/loss.</t>
  </si>
  <si>
    <t>● Annual amortization of assumption changes</t>
  </si>
  <si>
    <t>● Annual amortization of difference between assumed and actual investment return to market value</t>
  </si>
  <si>
    <r>
      <t>Employer Level</t>
    </r>
    <r>
      <rPr>
        <sz val="12"/>
        <color theme="1"/>
        <rFont val="Arial"/>
        <family val="2"/>
      </rPr>
      <t>--Maintained by employer</t>
    </r>
  </si>
  <si>
    <t>Step 4</t>
  </si>
  <si>
    <r>
      <rPr>
        <b/>
        <u/>
        <sz val="12"/>
        <color theme="1"/>
        <rFont val="Arial"/>
        <family val="2"/>
      </rPr>
      <t>Changes in Proportion</t>
    </r>
    <r>
      <rPr>
        <sz val="12"/>
        <color theme="1"/>
        <rFont val="Arial"/>
        <family val="2"/>
      </rPr>
      <t>- annual amortization of changes in NPL(A) and deferred inflows/</t>
    </r>
  </si>
  <si>
    <r>
      <t xml:space="preserve">outflows due to change in allocation (proportion).  </t>
    </r>
    <r>
      <rPr>
        <i/>
        <sz val="12"/>
        <color theme="1"/>
        <rFont val="Arial"/>
        <family val="2"/>
      </rPr>
      <t>Amortized over the average remaining service lives.</t>
    </r>
  </si>
  <si>
    <t>Note:  Materiality should be considered when evaluated the change in proportionate amounts between years.</t>
  </si>
  <si>
    <t>Collective</t>
  </si>
  <si>
    <t xml:space="preserve">Share at </t>
  </si>
  <si>
    <t>Amount at</t>
  </si>
  <si>
    <t>(a)</t>
  </si>
  <si>
    <t>(b)</t>
  </si>
  <si>
    <t>Net effect of the change in the Employer's proportion</t>
  </si>
  <si>
    <t>=</t>
  </si>
  <si>
    <t xml:space="preserve">                                                                    and deferred outflow (inflow) of resources of</t>
  </si>
  <si>
    <t>STEP 5</t>
  </si>
  <si>
    <r>
      <rPr>
        <b/>
        <u/>
        <sz val="12"/>
        <color theme="1"/>
        <rFont val="Arial"/>
        <family val="2"/>
      </rPr>
      <t>Difference in Contributions</t>
    </r>
    <r>
      <rPr>
        <sz val="12"/>
        <color theme="1"/>
        <rFont val="Arial"/>
        <family val="2"/>
      </rPr>
      <t xml:space="preserve">--annual amortization of difference between actual </t>
    </r>
  </si>
  <si>
    <t xml:space="preserve">contributions and the  proportionate share of contributions calculated using allocation method.  </t>
  </si>
  <si>
    <t>◊</t>
  </si>
  <si>
    <t xml:space="preserve">(contributions subsequent to </t>
  </si>
  <si>
    <t>measurement date of the collective net pension liability</t>
  </si>
  <si>
    <t xml:space="preserve">and before the end of the Employer's reporting period </t>
  </si>
  <si>
    <t>should be reported as deferred outflow of resources.)</t>
  </si>
  <si>
    <t>Difference</t>
  </si>
  <si>
    <t>Amount</t>
  </si>
  <si>
    <t>(b) - (a)</t>
  </si>
  <si>
    <t>Employer Contributions</t>
  </si>
  <si>
    <t>STEP 6</t>
  </si>
  <si>
    <t>Calculate the net effect of Steps 4 and 5</t>
  </si>
  <si>
    <t xml:space="preserve">Deferred </t>
  </si>
  <si>
    <t xml:space="preserve">Outflows (Inflows) of </t>
  </si>
  <si>
    <t>Resources</t>
  </si>
  <si>
    <t>Change in Proportion</t>
  </si>
  <si>
    <t>Contributions during the measurement period ($____)</t>
  </si>
  <si>
    <t>Net amount recognized</t>
  </si>
  <si>
    <t>STEP 7</t>
  </si>
  <si>
    <t>Debit</t>
  </si>
  <si>
    <t>Credit</t>
  </si>
  <si>
    <t>Net Pension Asset</t>
  </si>
  <si>
    <t>Deferred Outflow of Resources-Pension</t>
  </si>
  <si>
    <t xml:space="preserve">     Deferred Inflow of Resources-Pension</t>
  </si>
  <si>
    <t xml:space="preserve">     Beginning Net Position</t>
  </si>
  <si>
    <t xml:space="preserve">      Beginning Net Position</t>
  </si>
  <si>
    <t>To add deferred outflows of resources balance for the contributions to the pension plan made between the measurement</t>
  </si>
  <si>
    <t>STEP 8</t>
  </si>
  <si>
    <t>Deferred Outflows of Resources--proportionate share of collective</t>
  </si>
  <si>
    <t xml:space="preserve">     Pension Expense-proportionate share of collective</t>
  </si>
  <si>
    <t>To record changes in employer's proportionate share of the collective net pension liability (asset),</t>
  </si>
  <si>
    <t>Deferred Outflows of Resources--net deferral balances</t>
  </si>
  <si>
    <t>Pension Expense--net deferral balances</t>
  </si>
  <si>
    <t xml:space="preserve">     Deferred Inflows of Resources--net deferral balances</t>
  </si>
  <si>
    <t xml:space="preserve">     Pension Expense--net deferral balances</t>
  </si>
  <si>
    <t xml:space="preserve">To record the changes in proportion and differences between actual contributions and proportionate share of </t>
  </si>
  <si>
    <r>
      <t xml:space="preserve">contributions.   </t>
    </r>
    <r>
      <rPr>
        <i/>
        <sz val="12"/>
        <color theme="1"/>
        <rFont val="Arial"/>
        <family val="2"/>
      </rPr>
      <t>Step 6 above.</t>
    </r>
  </si>
  <si>
    <t>To record contributions made during the measurement period that were deferred.  Step 5 above.</t>
  </si>
  <si>
    <t>To record employer contributions subsequent to the measurement date and before the end of employer's reporting period.</t>
  </si>
  <si>
    <t>STEP 9</t>
  </si>
  <si>
    <t>Month</t>
  </si>
  <si>
    <t>2015 Employer Share Retirement</t>
  </si>
  <si>
    <t>2015 Covered Payroll</t>
  </si>
  <si>
    <t>2016 Employer Share Retirement</t>
  </si>
  <si>
    <t>2016 Covered Payroll</t>
  </si>
  <si>
    <t>2017 Employer Share Retirement</t>
  </si>
  <si>
    <t>2017 Covered Payroll</t>
  </si>
  <si>
    <t>January</t>
  </si>
  <si>
    <t>February</t>
  </si>
  <si>
    <t>March</t>
  </si>
  <si>
    <t>April</t>
  </si>
  <si>
    <t>May</t>
  </si>
  <si>
    <t>June</t>
  </si>
  <si>
    <t>Sub Total January - June</t>
  </si>
  <si>
    <t>July</t>
  </si>
  <si>
    <t>August</t>
  </si>
  <si>
    <t>September</t>
  </si>
  <si>
    <t>October</t>
  </si>
  <si>
    <t>November</t>
  </si>
  <si>
    <t>December</t>
  </si>
  <si>
    <t>Sub Total July - December</t>
  </si>
  <si>
    <t>Note:  For the RSI Schedules we will eventually need 10 years worth of information to report.</t>
  </si>
  <si>
    <t>EMPLOYER CONTRIBUTIONS &amp; COVERED PAYROLL</t>
  </si>
  <si>
    <t>Grand Totals for Calendar Year</t>
  </si>
  <si>
    <t>Total Difference</t>
  </si>
  <si>
    <t>Total Expense Recognized</t>
  </si>
  <si>
    <t>Note:  Materiality should be considered when evaluated the difference between actual and proportionate share of contributions.</t>
  </si>
  <si>
    <t>Measurement Period Year</t>
  </si>
  <si>
    <t xml:space="preserve">See tab called "Change in Proportionate Share" for amortization schedule provided.  </t>
  </si>
  <si>
    <t>Pension Asset/Liability</t>
  </si>
  <si>
    <t>Starting Pension Balances</t>
  </si>
  <si>
    <t>I1</t>
  </si>
  <si>
    <t>Net Position</t>
  </si>
  <si>
    <t>Pension Related Deferred Outflows</t>
  </si>
  <si>
    <t xml:space="preserve">  Restricted Net Position</t>
  </si>
  <si>
    <t>Beginning Net Position</t>
  </si>
  <si>
    <t>Statement of Activities</t>
  </si>
  <si>
    <r>
      <t xml:space="preserve">To post the </t>
    </r>
    <r>
      <rPr>
        <u/>
        <sz val="10"/>
        <rFont val="Arial"/>
        <family val="2"/>
      </rPr>
      <t>beginning of the year balances</t>
    </r>
    <r>
      <rPr>
        <sz val="11"/>
        <color theme="1"/>
        <rFont val="Calibri"/>
        <family val="2"/>
        <scheme val="minor"/>
      </rPr>
      <t xml:space="preserve"> for pension.  </t>
    </r>
  </si>
  <si>
    <t>Pension Activity During the Year</t>
  </si>
  <si>
    <t>I2</t>
  </si>
  <si>
    <t xml:space="preserve">   Restricted Net Position</t>
  </si>
  <si>
    <t>Needs to allocated to respective functions</t>
  </si>
  <si>
    <t>XXXXX</t>
  </si>
  <si>
    <t>To record changes in employer's proportionate share of the collective net pension liability (asset), collective deferred outflows/</t>
  </si>
  <si>
    <t>I3</t>
  </si>
  <si>
    <t>Restricted Net Position</t>
  </si>
  <si>
    <t>I4</t>
  </si>
  <si>
    <r>
      <t xml:space="preserve">   Pension Related Deferred Outflows--</t>
    </r>
    <r>
      <rPr>
        <sz val="9"/>
        <rFont val="Arial"/>
        <family val="2"/>
      </rPr>
      <t>contributions during measurement period</t>
    </r>
  </si>
  <si>
    <r>
      <t>Employer Contribution Expense--</t>
    </r>
    <r>
      <rPr>
        <sz val="9"/>
        <rFont val="Arial"/>
        <family val="2"/>
      </rPr>
      <t>contributions during measurement period</t>
    </r>
  </si>
  <si>
    <t>To record contributions made during the measurement period that were deferred.</t>
  </si>
  <si>
    <r>
      <t>Pension Related Deferred Outflows--c</t>
    </r>
    <r>
      <rPr>
        <sz val="8"/>
        <rFont val="Arial"/>
        <family val="2"/>
      </rPr>
      <t>ontributions subsequent to the measurement date</t>
    </r>
  </si>
  <si>
    <r>
      <t xml:space="preserve">   Employer Contribution Expense--</t>
    </r>
    <r>
      <rPr>
        <sz val="8"/>
        <rFont val="Arial"/>
        <family val="2"/>
      </rPr>
      <t>contributions subsequent to the measurement date</t>
    </r>
  </si>
  <si>
    <t xml:space="preserve">To record employer contributions subsequent to the measurement date and before the end of the employer's reporting period. </t>
  </si>
  <si>
    <t xml:space="preserve">  Beginning Pension Balances </t>
  </si>
  <si>
    <t xml:space="preserve">To add the balance of the proportionate share of the collective net pension liability/asset as of the beginning of the period </t>
  </si>
  <si>
    <t>(From Employer payroll records and/or SDRS monthly reports)</t>
  </si>
  <si>
    <t xml:space="preserve">Fiscal Year July - June Totals </t>
  </si>
  <si>
    <t xml:space="preserve"> Changes in Proportionate Share.  </t>
  </si>
  <si>
    <r>
      <t xml:space="preserve">  </t>
    </r>
    <r>
      <rPr>
        <b/>
        <sz val="12"/>
        <color theme="1"/>
        <rFont val="Arial"/>
        <family val="2"/>
      </rPr>
      <t xml:space="preserve">Maintain Detailed Employer Level Amortization Schedule for Deferred Outflows/Inflows of Resources related to </t>
    </r>
  </si>
  <si>
    <t>Ave Svc</t>
  </si>
  <si>
    <t>Life</t>
  </si>
  <si>
    <t xml:space="preserve">  </t>
  </si>
  <si>
    <t xml:space="preserve">  Pension Related Deferred Inflows</t>
  </si>
  <si>
    <t>inflows of resources and collective expense (revenue).  To record the changes in proportion and differences between actual contributions and</t>
  </si>
  <si>
    <t>proportionate share of contributions.</t>
  </si>
  <si>
    <t>Pension Related Deferred Inflows</t>
  </si>
  <si>
    <t xml:space="preserve">   Pension Related Deferred Inflows</t>
  </si>
  <si>
    <t xml:space="preserve">   Pension Expense</t>
  </si>
  <si>
    <t>Totals</t>
  </si>
  <si>
    <t>Adjustments</t>
  </si>
  <si>
    <t xml:space="preserve">How Reported on Government </t>
  </si>
  <si>
    <t>Statement</t>
  </si>
  <si>
    <t>Wide Financial Statements</t>
  </si>
  <si>
    <t>(suggested)</t>
  </si>
  <si>
    <t>ASSETS AND DEFERRED OUTFLOWS OF RESOURCES:</t>
  </si>
  <si>
    <t xml:space="preserve">Assets: </t>
  </si>
  <si>
    <t>Investments</t>
  </si>
  <si>
    <t>Inventories</t>
  </si>
  <si>
    <t>Land, Improvements, CIP</t>
  </si>
  <si>
    <t xml:space="preserve">            Other Capital Assets, Net of Depreciation</t>
  </si>
  <si>
    <t>Total Assets</t>
  </si>
  <si>
    <t>Deferred Outflows of Resources:</t>
  </si>
  <si>
    <t>Total Deferred Outflows of Resources</t>
  </si>
  <si>
    <t>OF RESOURCES</t>
  </si>
  <si>
    <t>AND FUND BALANCES/NET POSITION:</t>
  </si>
  <si>
    <t>Liabilities:</t>
  </si>
  <si>
    <t>Total Liabilities</t>
  </si>
  <si>
    <t>Deferred Inflows of Resources:</t>
  </si>
  <si>
    <t>Other Deferred Inflows of Resources</t>
  </si>
  <si>
    <t>Total Deferred Inflows of Resources</t>
  </si>
  <si>
    <t>Fund Balances:</t>
  </si>
  <si>
    <t>Net Investment in Capital Assets</t>
  </si>
  <si>
    <t>Total Fund Balances/Net Position</t>
  </si>
  <si>
    <t>Total Net Position</t>
  </si>
  <si>
    <t xml:space="preserve">TOTAL LIABILITIES, DEFERRED INFLOWS OF </t>
  </si>
  <si>
    <t>RESOURCES AND FUND BALANCES/NET POSITION</t>
  </si>
  <si>
    <t>HOW RECORDED ON GOVERNMENT-WIDE</t>
  </si>
  <si>
    <t xml:space="preserve">Fund </t>
  </si>
  <si>
    <t>Various</t>
  </si>
  <si>
    <t>Total Revenue</t>
  </si>
  <si>
    <t>Expenditures:</t>
  </si>
  <si>
    <t>Total Expenditures</t>
  </si>
  <si>
    <t>Transfers - Net</t>
  </si>
  <si>
    <t>See Comment</t>
  </si>
  <si>
    <t>Adjustments:</t>
  </si>
  <si>
    <t>Subtotal Beginning Balance</t>
  </si>
  <si>
    <t>(Step #4 of calculation</t>
  </si>
  <si>
    <t>Measurement Period</t>
  </si>
  <si>
    <t>Ending Date</t>
  </si>
  <si>
    <t>South Dakota Retirement System</t>
  </si>
  <si>
    <t>PENSION NOTE:</t>
  </si>
  <si>
    <t>Plan Information:</t>
  </si>
  <si>
    <t xml:space="preserve">issues a publicly available financial report that includes financial statements and required </t>
  </si>
  <si>
    <t>or by writing to the SDRS , P.O. Box 1098, Pierre, SD  57501-1098 or by calling (605) 773-3731.</t>
  </si>
  <si>
    <t>Benefits Provided:</t>
  </si>
  <si>
    <t>s</t>
  </si>
  <si>
    <t xml:space="preserve">All benefits except those depending on the Member's Accumulated Contributions are annually </t>
  </si>
  <si>
    <t>increased by the Cost-of-Living Adjustment.</t>
  </si>
  <si>
    <t>disclose information about those terms, as required by paragraph 76b of Statement 68)</t>
  </si>
  <si>
    <t>fact, as required by paragraph 76b of Statement 68)</t>
  </si>
  <si>
    <t>Contributions:</t>
  </si>
  <si>
    <t>Per SDCL 3-12, contribution requirements of the active employees and the participating employers</t>
  </si>
  <si>
    <t>are established and may be amended by the SDRS Board.  Covered employees are required by</t>
  </si>
  <si>
    <t>state statute to contribute the following percentages of their salary to the plan; Class A Members</t>
  </si>
  <si>
    <t xml:space="preserve">6.0% of salary; Class B Judicial Members, 9.0% of salary; and Class B Public Safety Members, </t>
  </si>
  <si>
    <t>Year</t>
  </si>
  <si>
    <t>SDCL 3-12-66 has occurred.)</t>
  </si>
  <si>
    <t xml:space="preserve">     Proportionate share of net pension liability (asset)</t>
  </si>
  <si>
    <t xml:space="preserve">which is an increase (decrease) of </t>
  </si>
  <si>
    <t>disclose information required by paragraph 80e of Statement 68)</t>
  </si>
  <si>
    <t xml:space="preserve">(NOTE: If there had been a change of benefit terms that affected the measurement of the </t>
  </si>
  <si>
    <t>pension liability (asset) had occurred between the measurement date and the reporting</t>
  </si>
  <si>
    <t>Statement 68)</t>
  </si>
  <si>
    <t>Deferred Outflows</t>
  </si>
  <si>
    <t>Of Resources</t>
  </si>
  <si>
    <t>Deferred Inflows</t>
  </si>
  <si>
    <t xml:space="preserve">Difference between expected and actual </t>
  </si>
  <si>
    <t>experience.</t>
  </si>
  <si>
    <t>Changes in assumption.</t>
  </si>
  <si>
    <t>earnings on pension plan investments.</t>
  </si>
  <si>
    <t xml:space="preserve">Changes in proportion and difference </t>
  </si>
  <si>
    <t>measurement date.</t>
  </si>
  <si>
    <t>TOTAL</t>
  </si>
  <si>
    <t>level information)</t>
  </si>
  <si>
    <t>Net difference between projected and actual</t>
  </si>
  <si>
    <t>(NOTE: GASB REQUIRES THREE YEARS OF DATA, Even FOR A ONE YEAR AUDIT PERIOD)</t>
  </si>
  <si>
    <t>and Deferred Inflows or Resources to Pensions:</t>
  </si>
  <si>
    <t>(NOTE: If changes expected to have a significant effect on the measurement of the net</t>
  </si>
  <si>
    <t>outflows of resources and deferred inflows of resources related to pensions will be recognized in</t>
  </si>
  <si>
    <t>Year Ended</t>
  </si>
  <si>
    <t/>
  </si>
  <si>
    <t>Thereafter</t>
  </si>
  <si>
    <t xml:space="preserve"> (note:  check footing for rounding issues)</t>
  </si>
  <si>
    <t>Actuarial Assumptions:</t>
  </si>
  <si>
    <t>following actuarial assumptions, applied to all periods included in the measurement:</t>
  </si>
  <si>
    <t>Inflation</t>
  </si>
  <si>
    <t>Salary Increases</t>
  </si>
  <si>
    <t>by paragraph 77 of Statement 68)</t>
  </si>
  <si>
    <t>(NOTE:  First three items above are provided at plan level and last two items are employer</t>
  </si>
  <si>
    <t>Investment portfolio management is the statutory responsibility of the South Dakota Investment</t>
  </si>
  <si>
    <t>Council (SDIC), which may utilize the services of external money managers for management of</t>
  </si>
  <si>
    <t>portion of the portfolio.  SDIC is governed by the Prudent Man Rule (i.e., the council should use</t>
  </si>
  <si>
    <t xml:space="preserve">the same degree of care as a prudent man).  Current SDIC investment policies dictate limits on </t>
  </si>
  <si>
    <t>the percentage of assets invested in various types of vehicles (equities, fixed income securities,</t>
  </si>
  <si>
    <t xml:space="preserve">real estate, cash, private equity, etc.).  The long-term expected rate of return on pension plan </t>
  </si>
  <si>
    <t xml:space="preserve">investments was determined using a method in which best-estimate ranges of expected </t>
  </si>
  <si>
    <t xml:space="preserve">future real rates of return (expected returns, net of pension plan investment expense and </t>
  </si>
  <si>
    <t xml:space="preserve">inflation) are developed for each major asset class.  These ranges are combined to produce </t>
  </si>
  <si>
    <t xml:space="preserve">the long-term expected rate of return by weighing the expected future real rates of return by </t>
  </si>
  <si>
    <t xml:space="preserve">the target asset allocation percentage and by adding expected inflation.  Best estimates of </t>
  </si>
  <si>
    <t xml:space="preserve">real rates of return for each major asset class included in the pension plan's target asset </t>
  </si>
  <si>
    <t>summarized in the following table using geometric means:</t>
  </si>
  <si>
    <t>Asset Class</t>
  </si>
  <si>
    <t xml:space="preserve">Target </t>
  </si>
  <si>
    <t>Long-Term Expected</t>
  </si>
  <si>
    <t>Real Rate of Return</t>
  </si>
  <si>
    <t>Real Estate</t>
  </si>
  <si>
    <t>Cash</t>
  </si>
  <si>
    <t>Total</t>
  </si>
  <si>
    <t>Discount Rate:</t>
  </si>
  <si>
    <t>that plan member contributions will be made at the current contribution rate and that matching</t>
  </si>
  <si>
    <t>assumptions, the pension plan's fiduciary net position was projected to be available to make all</t>
  </si>
  <si>
    <t>future benefit payments of current plan members.  Therefore, the long-term expected rate of</t>
  </si>
  <si>
    <t>return on pension plan investments was applied to all periods of projected benefit payments</t>
  </si>
  <si>
    <t>78a of Statement 68)</t>
  </si>
  <si>
    <t xml:space="preserve">(NOTE:  If there had been a change in the discount rate since the prior measurement date, the </t>
  </si>
  <si>
    <t xml:space="preserve">to determine the total pension liability (asset).  </t>
  </si>
  <si>
    <t>Sensitivity of liability (asset) to change in the discount rate:</t>
  </si>
  <si>
    <t xml:space="preserve">     of the net pension liability (asset)</t>
  </si>
  <si>
    <t xml:space="preserve">Current </t>
  </si>
  <si>
    <t xml:space="preserve">Discount </t>
  </si>
  <si>
    <t>Rate</t>
  </si>
  <si>
    <t>Decrease</t>
  </si>
  <si>
    <t>Increase</t>
  </si>
  <si>
    <t>employer contributions will be  made at rates equal to the member rate.  Based on these</t>
  </si>
  <si>
    <t>Pension Plan Fiduciary Net Position:</t>
  </si>
  <si>
    <t>Detailed information about the plan's fiduciary net position is available in the separately</t>
  </si>
  <si>
    <t>issued SDRS financial report.</t>
  </si>
  <si>
    <t xml:space="preserve">pension plan's financial report generally did no reflect the facts and circumstances at the </t>
  </si>
  <si>
    <t>paragraph 79 of Statement 68.)</t>
  </si>
  <si>
    <t>Payables to the Pension Plan:</t>
  </si>
  <si>
    <t xml:space="preserve">(NOTE: If significant changes had occurred that indicate that the disclosure included in the </t>
  </si>
  <si>
    <t>disclose information required by paragraph 122 of Statement 68.)</t>
  </si>
  <si>
    <t>All employees, working more than 20 hours per week during the year, participate in the South</t>
  </si>
  <si>
    <t xml:space="preserve">Schedule of the Proportionate Share of the Net Pension Liability (Asset) and </t>
  </si>
  <si>
    <r>
      <t xml:space="preserve">supplementary information.  That report may be obtained at </t>
    </r>
    <r>
      <rPr>
        <sz val="11"/>
        <color rgb="FF0070C0"/>
        <rFont val="Calibri"/>
        <family val="2"/>
        <scheme val="minor"/>
      </rPr>
      <t>http://sdrs.sd.gov/publications.aspx</t>
    </r>
  </si>
  <si>
    <t xml:space="preserve">NOTE:  This entry is presented to assist walkthrough from fund financial statements to government-wide.  If you accounting system maintains </t>
  </si>
  <si>
    <t xml:space="preserve">balances from prior year then this entry may not be required.  </t>
  </si>
  <si>
    <t>Service Lives (yrs.)</t>
  </si>
  <si>
    <t>Debit Balance</t>
  </si>
  <si>
    <t>Credit Balance</t>
  </si>
  <si>
    <t>Net pension Liability</t>
  </si>
  <si>
    <t>(b)-(a)</t>
  </si>
  <si>
    <t>Deferred Outflows of Resources</t>
  </si>
  <si>
    <t>Deferred Inflows of Resources</t>
  </si>
  <si>
    <t>Change in Proportionate</t>
  </si>
  <si>
    <t>Total of Change in beginning reported balances</t>
  </si>
  <si>
    <t>Therefore, the Employer reports an increase (decrease) in pension expense equal to</t>
  </si>
  <si>
    <t>Pension Expense</t>
  </si>
  <si>
    <t>or (Reduction of</t>
  </si>
  <si>
    <t>Pension Expense)</t>
  </si>
  <si>
    <t>Effect of Change</t>
  </si>
  <si>
    <t>in Proportion</t>
  </si>
  <si>
    <t>and a deferred outflow (inflow) of resources of =</t>
  </si>
  <si>
    <t>Therefore, the employer reports an increase in pension expense (reduction of pension expense) equal to =</t>
  </si>
  <si>
    <t xml:space="preserve">     Net Pension Liability</t>
  </si>
  <si>
    <t>Net Pension Asset--proportionate share of collective</t>
  </si>
  <si>
    <t xml:space="preserve">     Net Pension Liability--proportionate share of collective</t>
  </si>
  <si>
    <t xml:space="preserve">     Deferred Inflows of Resources--proportionate share of collective</t>
  </si>
  <si>
    <t>immaterial</t>
  </si>
  <si>
    <t xml:space="preserve">To add the balance of the changes in proportion and differences between actual contributions and proportionate share of </t>
  </si>
  <si>
    <r>
      <t xml:space="preserve">contributions as of the beginning of the period (from prior years).  </t>
    </r>
    <r>
      <rPr>
        <sz val="12"/>
        <color rgb="FF00B050"/>
        <rFont val="Arial"/>
        <family val="2"/>
      </rPr>
      <t>See Change in Proportionate Share tab.</t>
    </r>
  </si>
  <si>
    <r>
      <t xml:space="preserve">Employer records indicate the following Employer contributions </t>
    </r>
    <r>
      <rPr>
        <sz val="12"/>
        <color rgb="FF00B050"/>
        <rFont val="Arial"/>
        <family val="2"/>
      </rPr>
      <t>(See Contributions &amp; Covered Payroll tab</t>
    </r>
    <r>
      <rPr>
        <sz val="12"/>
        <color theme="1"/>
        <rFont val="Arial"/>
        <family val="2"/>
      </rPr>
      <t>):</t>
    </r>
  </si>
  <si>
    <t xml:space="preserve">  Net Pension Liability</t>
  </si>
  <si>
    <t xml:space="preserve">   Net Pension Liability</t>
  </si>
  <si>
    <t>General Government</t>
  </si>
  <si>
    <t>Public Safety</t>
  </si>
  <si>
    <t>Public Works</t>
  </si>
  <si>
    <t>Health and Welfare</t>
  </si>
  <si>
    <t>Culture and Recreation</t>
  </si>
  <si>
    <t>Conservation and Natural Resources</t>
  </si>
  <si>
    <t>Urban and Economic Development</t>
  </si>
  <si>
    <t>STATEMENT OF NET POSITION WORKSHEET</t>
  </si>
  <si>
    <t>DECEMBER 31, 20__</t>
  </si>
  <si>
    <t>Government</t>
  </si>
  <si>
    <t xml:space="preserve">                    Adjustments</t>
  </si>
  <si>
    <t xml:space="preserve">Wide </t>
  </si>
  <si>
    <t>ref.</t>
  </si>
  <si>
    <t xml:space="preserve">         Cash and Cash Equivalents</t>
  </si>
  <si>
    <t>Cash and Cash Equivalents</t>
  </si>
  <si>
    <t xml:space="preserve">  106 Cash with Fiscal Agent</t>
  </si>
  <si>
    <t xml:space="preserve">  151 Investments</t>
  </si>
  <si>
    <t xml:space="preserve">  110 Taxes Receivable--Delinquent</t>
  </si>
  <si>
    <t>Accounts Receivable</t>
  </si>
  <si>
    <t xml:space="preserve">  114 Judgments Receivable</t>
  </si>
  <si>
    <t xml:space="preserve">  117 Accounts Receivable, Net</t>
  </si>
  <si>
    <t xml:space="preserve">  121 Special Assessments Receivable--Current</t>
  </si>
  <si>
    <t xml:space="preserve">  122 Special Assessments Receivable--Delinquent</t>
  </si>
  <si>
    <t xml:space="preserve">  123 Special Assessments Receivable--Deferred</t>
  </si>
  <si>
    <t xml:space="preserve">  125 Interest Receivable--Special Assessments</t>
  </si>
  <si>
    <t xml:space="preserve">  126 Governmental Unit's Share of Assessment</t>
  </si>
  <si>
    <t xml:space="preserve">         Improvement Costs</t>
  </si>
  <si>
    <t xml:space="preserve">  128 Notes Receivable</t>
  </si>
  <si>
    <t xml:space="preserve">  129 Due from Component Units</t>
  </si>
  <si>
    <t>Due From Component Units</t>
  </si>
  <si>
    <t xml:space="preserve">  131 Due from _____________________ Fund</t>
  </si>
  <si>
    <t>Internal Balances</t>
  </si>
  <si>
    <t xml:space="preserve">  132 Due from _____________________ Government</t>
  </si>
  <si>
    <t xml:space="preserve">  135 Interest Receivable</t>
  </si>
  <si>
    <t xml:space="preserve">  137 Dividends Receivable</t>
  </si>
  <si>
    <t xml:space="preserve">  141 Inventory of Supplies</t>
  </si>
  <si>
    <t xml:space="preserve">  142 Inventory of Stores Purchased for Resale</t>
  </si>
  <si>
    <t xml:space="preserve">  154 Deposits</t>
  </si>
  <si>
    <t>Other Assets</t>
  </si>
  <si>
    <t xml:space="preserve">  155 Prepaid Expenses</t>
  </si>
  <si>
    <t xml:space="preserve">  157 Unamortized Discount on Bonds sold</t>
  </si>
  <si>
    <t xml:space="preserve">  186 Advance to ____________ Fund</t>
  </si>
  <si>
    <t xml:space="preserve">  189 Net Pension Asset</t>
  </si>
  <si>
    <t xml:space="preserve">  107.1 Restricted Cash and Cash Equivalents</t>
  </si>
  <si>
    <t>Restricted Cash</t>
  </si>
  <si>
    <t xml:space="preserve">  107.2 Restricted Investments</t>
  </si>
  <si>
    <t>Restricted Investments</t>
  </si>
  <si>
    <t xml:space="preserve">         Capital Assets:</t>
  </si>
  <si>
    <t xml:space="preserve">            Land, Improvements and Const. in Progress</t>
  </si>
  <si>
    <t>Other Capital Assets, Net of Depreciation</t>
  </si>
  <si>
    <t xml:space="preserve">  196 Pension Related Deferred Outflows </t>
  </si>
  <si>
    <t xml:space="preserve">  197 Deferred Charge on Refunding</t>
  </si>
  <si>
    <t>Deferred Charge on Refunding</t>
  </si>
  <si>
    <t xml:space="preserve">  198 Other Deferred Outflows of Resources</t>
  </si>
  <si>
    <t>Other Deferred Outflows of Resources</t>
  </si>
  <si>
    <t xml:space="preserve">TOTAL ASSETS AND DEFERRED OUTFLOWS </t>
  </si>
  <si>
    <t xml:space="preserve">LIABILITIES, DEFERRED INFLOWS OF RESOURCES </t>
  </si>
  <si>
    <t xml:space="preserve">  201 Claims Payable</t>
  </si>
  <si>
    <t>Accounts Payable</t>
  </si>
  <si>
    <t xml:space="preserve">  202 Accounts Payable</t>
  </si>
  <si>
    <t xml:space="preserve">  203 Judgments Payable</t>
  </si>
  <si>
    <t>Other Current Liabilities</t>
  </si>
  <si>
    <t xml:space="preserve">  204 Annuities Payable</t>
  </si>
  <si>
    <t xml:space="preserve">  205 Notes Payable</t>
  </si>
  <si>
    <t xml:space="preserve">  206 Contracts Payable</t>
  </si>
  <si>
    <t xml:space="preserve">  207 Contracts Payable--Retained Percentage</t>
  </si>
  <si>
    <t xml:space="preserve">  208 Due to ______________________ Fund</t>
  </si>
  <si>
    <t xml:space="preserve">  209 Due to _________________ Government</t>
  </si>
  <si>
    <t xml:space="preserve">  210 Amounts Held for Others</t>
  </si>
  <si>
    <t xml:space="preserve">  211 Matured Bonds Payable</t>
  </si>
  <si>
    <t xml:space="preserve">  212 Matured Interest Payable</t>
  </si>
  <si>
    <t xml:space="preserve">  215 Accrued Interest Payable</t>
  </si>
  <si>
    <t>Due Within One Year</t>
  </si>
  <si>
    <t xml:space="preserve">  216 Accrued Wages Payable</t>
  </si>
  <si>
    <t xml:space="preserve">  217 Payroll Withholding Payable</t>
  </si>
  <si>
    <t xml:space="preserve">  218 Amount Held for Special Assessment Debt Service</t>
  </si>
  <si>
    <t xml:space="preserve">  220 Customer Deposits</t>
  </si>
  <si>
    <t xml:space="preserve">  221 Due to Fiscal Agents</t>
  </si>
  <si>
    <t xml:space="preserve">  222 Special Assessments Collected in Advance</t>
  </si>
  <si>
    <t xml:space="preserve">  223 Unearned Revenue</t>
  </si>
  <si>
    <t xml:space="preserve">  225 Registered Warrants</t>
  </si>
  <si>
    <t xml:space="preserve">  226 Bonds Payable--Current</t>
  </si>
  <si>
    <t xml:space="preserve">  227 Due to Component Unit</t>
  </si>
  <si>
    <t xml:space="preserve">  228 Compensated Absences Payable -- Current</t>
  </si>
  <si>
    <t xml:space="preserve">  242 Advance from ___________________ Fund</t>
  </si>
  <si>
    <t xml:space="preserve">         Noncurrent Liabilities:</t>
  </si>
  <si>
    <t xml:space="preserve">            Due Within One Year</t>
  </si>
  <si>
    <t xml:space="preserve">            Due in More than One Year</t>
  </si>
  <si>
    <t>Due in More than One Year</t>
  </si>
  <si>
    <t xml:space="preserve">  250 Unavailable Revenue--Property Taxes</t>
  </si>
  <si>
    <t>Unavailable Revenue--Property Taxes</t>
  </si>
  <si>
    <t xml:space="preserve">  251 Unavailable Revenue--Special Assessments</t>
  </si>
  <si>
    <t>Unavailable Revenue--Special Assessments</t>
  </si>
  <si>
    <t xml:space="preserve">  253 Pension Related Deferred Inflows</t>
  </si>
  <si>
    <t xml:space="preserve">  252 Other Deferred Inflows of Resources</t>
  </si>
  <si>
    <t xml:space="preserve">  273  Nonspendable</t>
  </si>
  <si>
    <t xml:space="preserve">  274  Restricted</t>
  </si>
  <si>
    <t xml:space="preserve">  275  Committed</t>
  </si>
  <si>
    <t xml:space="preserve">  276  Assigned</t>
  </si>
  <si>
    <t xml:space="preserve">  277  Unassigned</t>
  </si>
  <si>
    <t xml:space="preserve">              Net Position:</t>
  </si>
  <si>
    <t xml:space="preserve">                  Net Investment in Capital Assets</t>
  </si>
  <si>
    <t xml:space="preserve">                  Restricted for:</t>
  </si>
  <si>
    <t xml:space="preserve">                     Road and Bridge Purposes</t>
  </si>
  <si>
    <t>Net Position-Restricted for Road</t>
  </si>
  <si>
    <t xml:space="preserve">                     Capital Projects</t>
  </si>
  <si>
    <t>Net Position-Restricted for Capital Projects</t>
  </si>
  <si>
    <t xml:space="preserve">                     Debt Service</t>
  </si>
  <si>
    <t>Net Position-Restricted for Debt Service</t>
  </si>
  <si>
    <t xml:space="preserve">                     SDRS Pension Purposes</t>
  </si>
  <si>
    <t xml:space="preserve">                     Permanently Restricted Purposes</t>
  </si>
  <si>
    <t>Net Position Permanently Restricted Purposes</t>
  </si>
  <si>
    <t xml:space="preserve">                     Other Purposes</t>
  </si>
  <si>
    <t>Net Position-Restricted for Other Purposes</t>
  </si>
  <si>
    <t xml:space="preserve">                Unrestricted (Deficit)</t>
  </si>
  <si>
    <t>Net Position-Unrestricted</t>
  </si>
  <si>
    <r>
      <t xml:space="preserve"> ___________________  COUNTY</t>
    </r>
    <r>
      <rPr>
        <b/>
        <sz val="14"/>
        <color rgb="FFFF0000"/>
        <rFont val="Arial"/>
        <family val="2"/>
      </rPr>
      <t xml:space="preserve"> (Municipal accounts will have to be modified accordingly)</t>
    </r>
  </si>
  <si>
    <t>STATEMENT OF ACTIVITIES WORKSHEET</t>
  </si>
  <si>
    <t>FOR THE YEAR ENDED DECEMBER 31, 20__</t>
  </si>
  <si>
    <t xml:space="preserve">STATEMENT OF ACTIVITIES </t>
  </si>
  <si>
    <t>ref</t>
  </si>
  <si>
    <t>(Suggested)</t>
  </si>
  <si>
    <t>Revenue:</t>
  </si>
  <si>
    <t xml:space="preserve">  310 Taxes:</t>
  </si>
  <si>
    <t xml:space="preserve">    311 General Property Taxes--Current</t>
  </si>
  <si>
    <t>General Revenue - Property Taxes</t>
  </si>
  <si>
    <t xml:space="preserve">    312 General Property Taxes--Delinquent</t>
  </si>
  <si>
    <t xml:space="preserve">    313 Penalties and Interest</t>
  </si>
  <si>
    <t xml:space="preserve">    314 Telephone Tax (Outside)</t>
  </si>
  <si>
    <t xml:space="preserve">    315 Mobile Home Tax</t>
  </si>
  <si>
    <t xml:space="preserve">    316 Wheel Tax</t>
  </si>
  <si>
    <t>General Revenue - Wheel Taxes</t>
  </si>
  <si>
    <t xml:space="preserve">    318 Tax Deed Revenue</t>
  </si>
  <si>
    <t xml:space="preserve">    319 Other Taxes</t>
  </si>
  <si>
    <t xml:space="preserve">  Total Taxes</t>
  </si>
  <si>
    <t xml:space="preserve">  320 Licenses and Permits</t>
  </si>
  <si>
    <t>Program Revenue-Charges for Services-Various</t>
  </si>
  <si>
    <t xml:space="preserve">  330 Intergovernmental Revenue:</t>
  </si>
  <si>
    <t xml:space="preserve">    331 Federal Grants</t>
  </si>
  <si>
    <t>Prog Rev-Operating Grants or Capital Grants-Various</t>
  </si>
  <si>
    <t xml:space="preserve">    332 Federal Shared Revenue</t>
  </si>
  <si>
    <t>Program or General Revenue-Various</t>
  </si>
  <si>
    <t xml:space="preserve">    333 Federal Payments in Lieu of Taxes</t>
  </si>
  <si>
    <t>General Revenue-Grants and Contributions</t>
  </si>
  <si>
    <t xml:space="preserve">    334 State Grants</t>
  </si>
  <si>
    <t xml:space="preserve">    335 State Shared Revenue:</t>
  </si>
  <si>
    <t xml:space="preserve">      335.01 Bank Franchise</t>
  </si>
  <si>
    <t>General Revenue-State Shared Revenue</t>
  </si>
  <si>
    <t xml:space="preserve">      335.02 Motor Vehicle Licenses</t>
  </si>
  <si>
    <t>Program Revenue-Operating Grants-Public Works</t>
  </si>
  <si>
    <t xml:space="preserve">      335.04 Liquor Tax Reversion</t>
  </si>
  <si>
    <t xml:space="preserve">      335.05 Lottery Shared Revenue</t>
  </si>
  <si>
    <t xml:space="preserve">      335.06 State Highway Fund</t>
  </si>
  <si>
    <t xml:space="preserve">                     (former 10% game)</t>
  </si>
  <si>
    <t>Program Revenue - Operating Grants - Public Works</t>
  </si>
  <si>
    <t xml:space="preserve">      335.07 Court Appointed Attorney/</t>
  </si>
  <si>
    <t xml:space="preserve">                     Public Defender</t>
  </si>
  <si>
    <t>Program Revenue - Operating Grants - General Gov't</t>
  </si>
  <si>
    <t xml:space="preserve">      335.08 Energy Minerals Severance</t>
  </si>
  <si>
    <t xml:space="preserve">                    Tax</t>
  </si>
  <si>
    <t xml:space="preserve">      335.09 Prorate License Fees</t>
  </si>
  <si>
    <t xml:space="preserve">      335.10 Abused and Neglected</t>
  </si>
  <si>
    <t xml:space="preserve">                     Child Defense</t>
  </si>
  <si>
    <t xml:space="preserve">      335.11 63 3/4% Mobile Home/</t>
  </si>
  <si>
    <t xml:space="preserve">                     Manufactured Home</t>
  </si>
  <si>
    <t xml:space="preserve">      335.13 Secondary Road Motor</t>
  </si>
  <si>
    <t xml:space="preserve">                     Vehicle Remittances</t>
  </si>
  <si>
    <t xml:space="preserve">      335.14 Telecommunications Gross</t>
  </si>
  <si>
    <t xml:space="preserve">                     Receipts Tax</t>
  </si>
  <si>
    <t xml:space="preserve">      335.15 Motor Vehicle 1/4%</t>
  </si>
  <si>
    <t xml:space="preserve">      335.16 Wind Farm Tax</t>
  </si>
  <si>
    <t xml:space="preserve">      335.17 Motor Fuel Tax</t>
  </si>
  <si>
    <t>Program Revenue - Operating - Public Works</t>
  </si>
  <si>
    <t xml:space="preserve">      335.18 911 Remittances</t>
  </si>
  <si>
    <t>Program Revenue - Operating - Public Safety</t>
  </si>
  <si>
    <t xml:space="preserve">      335.99 Other State Shared Revenue</t>
  </si>
  <si>
    <t>Program or General Revenue</t>
  </si>
  <si>
    <t xml:space="preserve">    336 State Payments in Lieu of Taxes</t>
  </si>
  <si>
    <t xml:space="preserve">    338 Other Payments in Lieu of Taxes</t>
  </si>
  <si>
    <t xml:space="preserve">    339 Other Intergovernmental Revenue</t>
  </si>
  <si>
    <t>Program or General Revenue - Various</t>
  </si>
  <si>
    <t xml:space="preserve">  Total Intergovernmental Revenue</t>
  </si>
  <si>
    <t xml:space="preserve">  340 Charges for Goods and Services:</t>
  </si>
  <si>
    <t xml:space="preserve">    341 General Government:</t>
  </si>
  <si>
    <t xml:space="preserve">      341.10 Treasurer's Fees</t>
  </si>
  <si>
    <t>Program Revenue-General Government</t>
  </si>
  <si>
    <t xml:space="preserve">      341.20 Register of Deeds' Fees</t>
  </si>
  <si>
    <t xml:space="preserve">      341.30 Driver's License Exam</t>
  </si>
  <si>
    <t xml:space="preserve">      341.40 Legal Services</t>
  </si>
  <si>
    <t xml:space="preserve">      341.50 Clerk of Courts Fees</t>
  </si>
  <si>
    <t xml:space="preserve">      341.90 Other Fees</t>
  </si>
  <si>
    <t xml:space="preserve">    342 Public Safety:</t>
  </si>
  <si>
    <t xml:space="preserve">      342.10 Law Enforcement</t>
  </si>
  <si>
    <t>Program Revenue-Public Safety</t>
  </si>
  <si>
    <t xml:space="preserve">      342.20 Prisoner Care</t>
  </si>
  <si>
    <t xml:space="preserve">      342.30 Sobriety Testing</t>
  </si>
  <si>
    <t xml:space="preserve">      342.90 Other</t>
  </si>
  <si>
    <t xml:space="preserve">    343 Public Works:</t>
  </si>
  <si>
    <t xml:space="preserve">      343.10 Road Maintenance Contract Charges</t>
  </si>
  <si>
    <t>Program Revenue-Public Works</t>
  </si>
  <si>
    <t xml:space="preserve">      343.90 Other</t>
  </si>
  <si>
    <t xml:space="preserve">    344 Health and Welfare:</t>
  </si>
  <si>
    <t xml:space="preserve">      344.10 Economic Assistance:</t>
  </si>
  <si>
    <t>Program Revenue-Health and Welfare</t>
  </si>
  <si>
    <t xml:space="preserve">        344.11 Poor Lien Recoveries</t>
  </si>
  <si>
    <t xml:space="preserve">        344.12 Veterans Service Officer</t>
  </si>
  <si>
    <t xml:space="preserve">        344.13 Low Income Energy Assistance Program</t>
  </si>
  <si>
    <t xml:space="preserve">        344.14 Food Stamp Administration</t>
  </si>
  <si>
    <t xml:space="preserve">        344.19 Other</t>
  </si>
  <si>
    <t xml:space="preserve">      344.20 Health Assistance:</t>
  </si>
  <si>
    <t xml:space="preserve">        344.21 County Nurse</t>
  </si>
  <si>
    <t xml:space="preserve">        344.22 Ambulance</t>
  </si>
  <si>
    <t xml:space="preserve">        344.23 Hospital</t>
  </si>
  <si>
    <t xml:space="preserve">        344.24 Women Infants and Children</t>
  </si>
  <si>
    <t xml:space="preserve">        344.29 Other</t>
  </si>
  <si>
    <t xml:space="preserve">      344.30 Social Services</t>
  </si>
  <si>
    <t xml:space="preserve">      344.40 Mental Health Services</t>
  </si>
  <si>
    <t xml:space="preserve">    345 Culture and Recreation</t>
  </si>
  <si>
    <t>Program Revenue-Culture and Recreation</t>
  </si>
  <si>
    <t xml:space="preserve">    346 Urban and Economic Development</t>
  </si>
  <si>
    <t>Program Revenue-Urban and Economic Development</t>
  </si>
  <si>
    <t xml:space="preserve">    348 Conservation of Natural Resources</t>
  </si>
  <si>
    <t>Program Revenue-Conservation and Natural Resources</t>
  </si>
  <si>
    <t xml:space="preserve">    349 Other Charges</t>
  </si>
  <si>
    <t>Program Revenue-Various</t>
  </si>
  <si>
    <t xml:space="preserve">  Total Charges for Goods and Services</t>
  </si>
  <si>
    <t xml:space="preserve">  350 Fines and Forfeits:</t>
  </si>
  <si>
    <t xml:space="preserve">    351 Fines</t>
  </si>
  <si>
    <t>Program Revenue-Charges for Serv-Public Safety</t>
  </si>
  <si>
    <t xml:space="preserve">    352 Costs</t>
  </si>
  <si>
    <t xml:space="preserve">    353 Forfeits</t>
  </si>
  <si>
    <t xml:space="preserve">    359 Other</t>
  </si>
  <si>
    <t xml:space="preserve">  Total Fines and Forfeits</t>
  </si>
  <si>
    <t xml:space="preserve">  360 Miscellaneous Revenue:</t>
  </si>
  <si>
    <t xml:space="preserve">    361 Investment Earnings</t>
  </si>
  <si>
    <t>General Revenue-Unrestricted Investment Earnings</t>
  </si>
  <si>
    <t xml:space="preserve">    362 Rent</t>
  </si>
  <si>
    <t xml:space="preserve">    363 Special Assessments</t>
  </si>
  <si>
    <t>Program Revenue-Capital Grants-Public Works</t>
  </si>
  <si>
    <t xml:space="preserve">    365 Contributions and Donations</t>
  </si>
  <si>
    <t>Prog Rev-Contributions or General Revenue-Misc.</t>
  </si>
  <si>
    <t xml:space="preserve">    366 Refund of Prior Year's</t>
  </si>
  <si>
    <t xml:space="preserve">              Expenditures</t>
  </si>
  <si>
    <t>General Revenue-Miscellaneous</t>
  </si>
  <si>
    <t xml:space="preserve">    369 Other</t>
  </si>
  <si>
    <t xml:space="preserve">  Total Miscellaneous Revenue</t>
  </si>
  <si>
    <t xml:space="preserve">  100 General Government:</t>
  </si>
  <si>
    <t xml:space="preserve">    110 Legislative:</t>
  </si>
  <si>
    <t xml:space="preserve">      111 Board of County Commissioners</t>
  </si>
  <si>
    <t xml:space="preserve">    120 Elections</t>
  </si>
  <si>
    <t xml:space="preserve">    130 Judicial System</t>
  </si>
  <si>
    <t xml:space="preserve">    140 Financial Administration: </t>
  </si>
  <si>
    <t xml:space="preserve">      141 Auditor</t>
  </si>
  <si>
    <t xml:space="preserve">      142 Treasurer</t>
  </si>
  <si>
    <t xml:space="preserve">      143 Finance Office</t>
  </si>
  <si>
    <t xml:space="preserve">      149 Other</t>
  </si>
  <si>
    <t xml:space="preserve">    150 Legal Services:</t>
  </si>
  <si>
    <t xml:space="preserve">      151 State's Attorney</t>
  </si>
  <si>
    <t xml:space="preserve">      152 Public Defender</t>
  </si>
  <si>
    <t xml:space="preserve">      153 Court Appointed Attorney</t>
  </si>
  <si>
    <t xml:space="preserve">      154 Abused and Neglected Child</t>
  </si>
  <si>
    <t xml:space="preserve">                Defense</t>
  </si>
  <si>
    <t xml:space="preserve">    160 Other Administration:</t>
  </si>
  <si>
    <t xml:space="preserve">      161 General Government Building</t>
  </si>
  <si>
    <t xml:space="preserve">      162 Director of Equalization</t>
  </si>
  <si>
    <t xml:space="preserve">      163 Register of Deeds</t>
  </si>
  <si>
    <t xml:space="preserve">      164 Judgments</t>
  </si>
  <si>
    <t xml:space="preserve">      165 Veterans' Service Officer</t>
  </si>
  <si>
    <t xml:space="preserve">      166 Predatory Animal</t>
  </si>
  <si>
    <t xml:space="preserve">      167 Disability Coordinator</t>
  </si>
  <si>
    <t xml:space="preserve">      168 Self-Insurance Plan</t>
  </si>
  <si>
    <t xml:space="preserve">      169 Other</t>
  </si>
  <si>
    <t xml:space="preserve">      170 Geographic Information System</t>
  </si>
  <si>
    <t xml:space="preserve">      171 Information Technology</t>
  </si>
  <si>
    <t xml:space="preserve">      172 Human Resources</t>
  </si>
  <si>
    <t xml:space="preserve">  Total General Government</t>
  </si>
  <si>
    <t xml:space="preserve">  200 Public Safety:</t>
  </si>
  <si>
    <t xml:space="preserve">    210 Law Enforcement:</t>
  </si>
  <si>
    <t xml:space="preserve">      211 Sheriff</t>
  </si>
  <si>
    <t xml:space="preserve">      212 County Jail</t>
  </si>
  <si>
    <t xml:space="preserve">      213 Coroner</t>
  </si>
  <si>
    <t xml:space="preserve">      214 County-Wide Law Enforcement</t>
  </si>
  <si>
    <t xml:space="preserve">      215 Juvenile Detention</t>
  </si>
  <si>
    <t xml:space="preserve">      219 Other Law Enforcement</t>
  </si>
  <si>
    <t xml:space="preserve">    220 Protective and Emergency Services:</t>
  </si>
  <si>
    <t xml:space="preserve">      221 Fire Protection</t>
  </si>
  <si>
    <t xml:space="preserve">      222 Emergency and Disaster Services</t>
  </si>
  <si>
    <t xml:space="preserve">      223 Flood Control</t>
  </si>
  <si>
    <t xml:space="preserve">      225 Communication Center</t>
  </si>
  <si>
    <t xml:space="preserve">      229 Other Protective and Emergency</t>
  </si>
  <si>
    <t>Total Public Safety</t>
  </si>
  <si>
    <t xml:space="preserve">  300 Public Works:</t>
  </si>
  <si>
    <t xml:space="preserve">    310 Highways and Bridges:</t>
  </si>
  <si>
    <t xml:space="preserve">      311 Highways, Roads and Bridges</t>
  </si>
  <si>
    <t xml:space="preserve">    320 Sanitation:</t>
  </si>
  <si>
    <t xml:space="preserve">      321 Sewers</t>
  </si>
  <si>
    <t xml:space="preserve">      322 Solid Waste</t>
  </si>
  <si>
    <t xml:space="preserve">    330 Transportation:</t>
  </si>
  <si>
    <t xml:space="preserve">      331 Airport</t>
  </si>
  <si>
    <t xml:space="preserve">      332 Railroad</t>
  </si>
  <si>
    <t xml:space="preserve">    340 Water System</t>
  </si>
  <si>
    <t xml:space="preserve">    390 Other Public Works</t>
  </si>
  <si>
    <t>Total Public Works</t>
  </si>
  <si>
    <t xml:space="preserve">  400 Health and Welfare:</t>
  </si>
  <si>
    <t xml:space="preserve">    410 Economic Assistance:</t>
  </si>
  <si>
    <t xml:space="preserve">      411 Support of Poor</t>
  </si>
  <si>
    <t xml:space="preserve">      412 Public Welfare</t>
  </si>
  <si>
    <t xml:space="preserve">      413 Low Income Energy Assistance Program</t>
  </si>
  <si>
    <t xml:space="preserve">      415 Food Stamp Distribution</t>
  </si>
  <si>
    <t xml:space="preserve">      419 Other</t>
  </si>
  <si>
    <t xml:space="preserve">  420 Health Assistance:</t>
  </si>
  <si>
    <t xml:space="preserve">    421 County Nurse</t>
  </si>
  <si>
    <t xml:space="preserve">    422 Health Services</t>
  </si>
  <si>
    <t xml:space="preserve">    423 Hospital</t>
  </si>
  <si>
    <t xml:space="preserve">    424 Ambulance</t>
  </si>
  <si>
    <t xml:space="preserve">    425 Board of Health</t>
  </si>
  <si>
    <t xml:space="preserve">    426 Women Infants and Children</t>
  </si>
  <si>
    <t xml:space="preserve">    429 Other</t>
  </si>
  <si>
    <t xml:space="preserve">  430 Social Services:</t>
  </si>
  <si>
    <t xml:space="preserve">    431 Day Care Centers</t>
  </si>
  <si>
    <t xml:space="preserve">    432 Child Support Enforcement</t>
  </si>
  <si>
    <t xml:space="preserve">    433 Care of Aged</t>
  </si>
  <si>
    <t xml:space="preserve">    434 Domestic Abuse</t>
  </si>
  <si>
    <t xml:space="preserve">    439 Other</t>
  </si>
  <si>
    <t xml:space="preserve">  440 Mental Health Services:</t>
  </si>
  <si>
    <t xml:space="preserve">    441 Mentally Ill</t>
  </si>
  <si>
    <t xml:space="preserve">    442 Developmentally Disabled</t>
  </si>
  <si>
    <t xml:space="preserve">    443 Drug Abuse</t>
  </si>
  <si>
    <t xml:space="preserve">    444 Mental Health Centers</t>
  </si>
  <si>
    <t xml:space="preserve">    445 Mental Illness Board</t>
  </si>
  <si>
    <t xml:space="preserve">    449 Other</t>
  </si>
  <si>
    <t>Total Health and Welfare</t>
  </si>
  <si>
    <t xml:space="preserve">  500 Culture and Recreation:</t>
  </si>
  <si>
    <t xml:space="preserve">    510 Culture:</t>
  </si>
  <si>
    <t xml:space="preserve">      511 Public Library</t>
  </si>
  <si>
    <t xml:space="preserve">      512 Historical Museum</t>
  </si>
  <si>
    <t xml:space="preserve">      513 County Monuments</t>
  </si>
  <si>
    <t xml:space="preserve">      514 Historical Sites</t>
  </si>
  <si>
    <t xml:space="preserve">      515 Memorial Day Expense</t>
  </si>
  <si>
    <t xml:space="preserve">      519 Other</t>
  </si>
  <si>
    <t xml:space="preserve">    520 Recreation:</t>
  </si>
  <si>
    <t xml:space="preserve">      521 Recreational Programs</t>
  </si>
  <si>
    <t xml:space="preserve">      522 Parks</t>
  </si>
  <si>
    <t xml:space="preserve">      523 Exhibition Building</t>
  </si>
  <si>
    <t xml:space="preserve">      524 County Fair</t>
  </si>
  <si>
    <t xml:space="preserve">      525 Senior Center</t>
  </si>
  <si>
    <t xml:space="preserve">      529 Other</t>
  </si>
  <si>
    <t xml:space="preserve">  Total Culture and Recreation</t>
  </si>
  <si>
    <t xml:space="preserve">  600 Conservation of Natural Resources:</t>
  </si>
  <si>
    <t xml:space="preserve">    610 Soil Conservation:</t>
  </si>
  <si>
    <t xml:space="preserve">      611 County Extension</t>
  </si>
  <si>
    <t xml:space="preserve">      612 Soil Conservation Districts</t>
  </si>
  <si>
    <t xml:space="preserve">      613 Rodent Control</t>
  </si>
  <si>
    <t xml:space="preserve">      614 Predator Control Districts</t>
  </si>
  <si>
    <t xml:space="preserve">      616 Grasshopper and Pest Control</t>
  </si>
  <si>
    <t xml:space="preserve">      619 Other</t>
  </si>
  <si>
    <t xml:space="preserve">    620 Water Conservation:</t>
  </si>
  <si>
    <t xml:space="preserve">      621 Geological Survey</t>
  </si>
  <si>
    <t xml:space="preserve">      622 Weather Modification</t>
  </si>
  <si>
    <t xml:space="preserve">      623 Water Conservation Districts</t>
  </si>
  <si>
    <t xml:space="preserve">      624 Drainage Commissions</t>
  </si>
  <si>
    <t xml:space="preserve">      629 Other</t>
  </si>
  <si>
    <t>Total Conservation of Natural Resources</t>
  </si>
  <si>
    <t>Conservation of Natural Resources</t>
  </si>
  <si>
    <t xml:space="preserve">  700 Urban and Economic Development:</t>
  </si>
  <si>
    <t xml:space="preserve">    710 Urban Development:</t>
  </si>
  <si>
    <t xml:space="preserve">      711 Planning and Zoning</t>
  </si>
  <si>
    <t xml:space="preserve">      712 Urban and Rural Development</t>
  </si>
  <si>
    <t xml:space="preserve">      719 Other</t>
  </si>
  <si>
    <t xml:space="preserve">    720 Economic Development:</t>
  </si>
  <si>
    <t xml:space="preserve">      721 Tourism, Industrial or </t>
  </si>
  <si>
    <t xml:space="preserve">                Recreational Development</t>
  </si>
  <si>
    <t xml:space="preserve">      729 Other</t>
  </si>
  <si>
    <t xml:space="preserve">  Total Urban and Economic Development</t>
  </si>
  <si>
    <t xml:space="preserve">  750 Intergovernmental Expenditures</t>
  </si>
  <si>
    <t>Intergovernmental Expenditures</t>
  </si>
  <si>
    <t xml:space="preserve">  800 Debt Service</t>
  </si>
  <si>
    <t>Interest on Long-term Debt</t>
  </si>
  <si>
    <t xml:space="preserve">  850 Payments to Local Education</t>
  </si>
  <si>
    <t xml:space="preserve">             Agencies</t>
  </si>
  <si>
    <t>Payment to Local Education Agencies</t>
  </si>
  <si>
    <t xml:space="preserve">  890 Capital Outlay</t>
  </si>
  <si>
    <t>Reported as a Capital Asset</t>
  </si>
  <si>
    <t xml:space="preserve">          Depreciation-Unallocated</t>
  </si>
  <si>
    <t>Depreciation Expense-Unallocated</t>
  </si>
  <si>
    <t>Excess of Revenues Over (Under) Expenditures</t>
  </si>
  <si>
    <t>Other Financing Sources (Uses):</t>
  </si>
  <si>
    <t xml:space="preserve">    371 Transfers In</t>
  </si>
  <si>
    <r>
      <t xml:space="preserve">    911 Transfers Out</t>
    </r>
    <r>
      <rPr>
        <sz val="11"/>
        <color indexed="10"/>
        <rFont val="Arial"/>
        <family val="2"/>
      </rPr>
      <t xml:space="preserve"> (Enter as negative)</t>
    </r>
  </si>
  <si>
    <t xml:space="preserve">    372 General Ong-Term Debt Issued</t>
  </si>
  <si>
    <t>Increase in Long-Term Liabilities</t>
  </si>
  <si>
    <t xml:space="preserve">    373 Insurance Proceeds</t>
  </si>
  <si>
    <t xml:space="preserve">    374 Sale of County Property</t>
  </si>
  <si>
    <t xml:space="preserve">    912 Payments to Refunded Debt</t>
  </si>
  <si>
    <r>
      <t xml:space="preserve">              Escrow Agent</t>
    </r>
    <r>
      <rPr>
        <sz val="11"/>
        <color indexed="10"/>
        <rFont val="Arial"/>
        <family val="2"/>
      </rPr>
      <t xml:space="preserve"> (Enter as negative)</t>
    </r>
  </si>
  <si>
    <t>Decrease in a Long-Term Liability</t>
  </si>
  <si>
    <r>
      <t xml:space="preserve">    915 Discount on Bonds Issued </t>
    </r>
    <r>
      <rPr>
        <sz val="8"/>
        <color indexed="10"/>
        <rFont val="Arial"/>
        <family val="2"/>
      </rPr>
      <t>(Enter as Neg)</t>
    </r>
  </si>
  <si>
    <t>Contra Liability or Interest Expense</t>
  </si>
  <si>
    <t>Total Other Financing Sources (Uses)</t>
  </si>
  <si>
    <t xml:space="preserve">   376/(913) Special Items</t>
  </si>
  <si>
    <t>Extraordinary Items</t>
  </si>
  <si>
    <t xml:space="preserve">   375/(914) Extraordinary Items</t>
  </si>
  <si>
    <t>Special Items</t>
  </si>
  <si>
    <t>Net Change in Fund Balances/</t>
  </si>
  <si>
    <t xml:space="preserve">  Change in Net Position</t>
  </si>
  <si>
    <t>Change in Net Position</t>
  </si>
  <si>
    <t>Changes in Nonspendable</t>
  </si>
  <si>
    <t>Fund Balance, Beginning</t>
  </si>
  <si>
    <t>Net Position - Beginning</t>
  </si>
  <si>
    <t xml:space="preserve">  ____________________</t>
  </si>
  <si>
    <t>FUND BALANCE, ENDING</t>
  </si>
  <si>
    <t>Net Position - Ending</t>
  </si>
  <si>
    <r>
      <t xml:space="preserve"> ___________________  COUNTY </t>
    </r>
    <r>
      <rPr>
        <b/>
        <sz val="14"/>
        <color rgb="FFFF0000"/>
        <rFont val="Arial"/>
        <family val="2"/>
      </rPr>
      <t>(Municipal accounts will have to be modified accordingly)</t>
    </r>
  </si>
  <si>
    <t xml:space="preserve">      XXX Unallocated Pension Expense</t>
  </si>
  <si>
    <t>for the Year Ended December 31, 20__</t>
  </si>
  <si>
    <t>Proportionate share of pension liability</t>
  </si>
  <si>
    <t>Less proportionate share of net pension restricted for pension benefits</t>
  </si>
  <si>
    <t xml:space="preserve">for its proportionate share of the net pension liability (asset).  The net pension liability (asset) was measured as of </t>
  </si>
  <si>
    <t>(asset) was based on a projection of the County's/Municipality's share of contributions to the</t>
  </si>
  <si>
    <t>County's/Municipality's proportion was</t>
  </si>
  <si>
    <t xml:space="preserve">(NOTE: if the benefit terms include postemployment benefit changes, the entity should </t>
  </si>
  <si>
    <t xml:space="preserve">(NOTE: if the pension plan was closed to new entrants, the entity should disclose that </t>
  </si>
  <si>
    <t>(NOTE: If the entity has any additional employee retirement plans, insert the appropriate</t>
  </si>
  <si>
    <t xml:space="preserve">disclosures.  It the entity employees were provided also consider whether a violation of </t>
  </si>
  <si>
    <t>total pension liability (asset) since the prior measurement date, the entity should</t>
  </si>
  <si>
    <t>date, the entity should disclose information required by paragraph 80f of</t>
  </si>
  <si>
    <t xml:space="preserve">expense) of </t>
  </si>
  <si>
    <t>and deferred inflows or resources related to pension from the following sources:</t>
  </si>
  <si>
    <t>reported as deferred outflow of resources related to pensions resulting from County/</t>
  </si>
  <si>
    <t>Municipality contributions subsequent to the measurement date will be recognized as a reduction of the</t>
  </si>
  <si>
    <t>pension expense (reduction of pension expense) as follows:</t>
  </si>
  <si>
    <t>should disclose information about assumptions related to those changes, as required</t>
  </si>
  <si>
    <t>(NOTE: IF the benefit terms included ad hoc postemployment benefit changes, the entity</t>
  </si>
  <si>
    <t>proportionate share of contributions (includes amounts previously deferred)</t>
  </si>
  <si>
    <t>between County/Municipal contributions and</t>
  </si>
  <si>
    <t>Pension Liabilities (Assets), Pension Expense , and Deferred Outflows of Resources</t>
  </si>
  <si>
    <t>County/Municipality contributions subsequent to the</t>
  </si>
  <si>
    <t xml:space="preserve">entity should disclose information about that change, as required by paragraph </t>
  </si>
  <si>
    <t>The following presents the County's/Municipality's proportionate share of net pension liability (asset)</t>
  </si>
  <si>
    <t xml:space="preserve">     County's/Municipality's proportionate share</t>
  </si>
  <si>
    <t xml:space="preserve">measurement date, the entity should disclose additional information, as required by </t>
  </si>
  <si>
    <t>(NOTE: If the entity reported payables to the defined benefit pension plan, it should</t>
  </si>
  <si>
    <t>Employer Level---Amortization of Changes in Proportionate Share and Difference Between Actual and Proportionate Share of Contributions.</t>
  </si>
  <si>
    <t>Red #'s have to be entered by user</t>
  </si>
  <si>
    <t>Blue #'s are formula based</t>
  </si>
  <si>
    <t>beginning of the period.</t>
  </si>
  <si>
    <t>date of the beginning net pension liability (asset) and the beginning of the government's fiscal year reported as deferred outflows as of the</t>
  </si>
  <si>
    <r>
      <t xml:space="preserve">collective deferred outflows/inflows of resources and collective expense (reduction of pension expense).  </t>
    </r>
    <r>
      <rPr>
        <i/>
        <sz val="12"/>
        <color theme="1"/>
        <rFont val="Arial"/>
        <family val="2"/>
      </rPr>
      <t>Step 2 above</t>
    </r>
  </si>
  <si>
    <t>● Net Pension Expense (Reduction of Pension Expense)</t>
  </si>
  <si>
    <t>Collective plan pension expense (reduction of pension expense)</t>
  </si>
  <si>
    <t xml:space="preserve"> (reduction of pension expense) as they occur EXCEPT as follows:</t>
  </si>
  <si>
    <t>Net Position-Restricted SDRS Pension Purposes</t>
  </si>
  <si>
    <t>December 31</t>
  </si>
  <si>
    <t>and prior year amounts)</t>
  </si>
  <si>
    <t>outflows (inflows)</t>
  </si>
  <si>
    <t>Outflows Only</t>
  </si>
  <si>
    <t>Inflows Only</t>
  </si>
  <si>
    <t>Combined Outflows and (Inflows)</t>
  </si>
  <si>
    <t>Deferred Outflows of Resources Only</t>
  </si>
  <si>
    <t>Deferred Inflows of Resources Only</t>
  </si>
  <si>
    <t>Deferred Outflow</t>
  </si>
  <si>
    <t>Deferred (Inflow)</t>
  </si>
  <si>
    <r>
      <t>contributions that were deferred in previous years.</t>
    </r>
    <r>
      <rPr>
        <i/>
        <sz val="12"/>
        <color rgb="FF00B050"/>
        <rFont val="Arial"/>
        <family val="2"/>
      </rPr>
      <t>"Change in Proportionate Share" tab.</t>
    </r>
  </si>
  <si>
    <t>proportionate share of the components of the net pension asset of the South Dakota Retirement</t>
  </si>
  <si>
    <t>Discount Rate</t>
  </si>
  <si>
    <t>The discount rate used to measure the total pension liability (asset) was 6.50%.</t>
  </si>
  <si>
    <t>The projection of cash flows used to determine the discount rate assumed</t>
  </si>
  <si>
    <t>be if it were calculated using a discount rate that is 1-percentage point lower (5.50%) or</t>
  </si>
  <si>
    <t>1-percentage point higher (7.50%) than the current rate:</t>
  </si>
  <si>
    <t xml:space="preserve">calculated using the discount rate of 6.50%, as well as what the </t>
  </si>
  <si>
    <t xml:space="preserve">County's/Municipality's proportionate share of the net pension liability (asset) would </t>
  </si>
  <si>
    <r>
      <t>Last 10 Years</t>
    </r>
    <r>
      <rPr>
        <b/>
        <sz val="11"/>
        <color theme="1"/>
        <rFont val="Arial"/>
        <family val="2"/>
      </rPr>
      <t xml:space="preserve"> *</t>
    </r>
  </si>
  <si>
    <t>inflation assumption of 2.25%.</t>
  </si>
  <si>
    <t>Baseline actuarial accrued liabilities will be calculated assuming the COLA is equal to the long-term</t>
  </si>
  <si>
    <t>If the fair value of assets is greater or equal to the baseline actuarial accrued liabilities, the COLA will be:</t>
  </si>
  <si>
    <t>• If the fair value of assets is less than the baseline actuarial accrued liabilities, the COLA will be:</t>
  </si>
  <si>
    <t>The increase in the 3rd quarter CPI-W, no less than 0.5% and no greater than a restricted</t>
  </si>
  <si>
    <t>value of assets will be greater or equal to the accrued liabilities.</t>
  </si>
  <si>
    <t>maximum such that, that if the restricted maximum is assumed for future COLAs, the fair</t>
  </si>
  <si>
    <t>The increase in the 3rd quarter CPI-W, no less than 0.5% and no greater than 3.5%.</t>
  </si>
  <si>
    <t>2018 Covered Payroll</t>
  </si>
  <si>
    <t>2018 Employer Share Retirement</t>
  </si>
  <si>
    <t>Members that were hired before July 1, 2017, are Foundation members.  Class A Foundation</t>
  </si>
  <si>
    <t xml:space="preserve">members and Class B Foundation members who retire after age 65 with three years of </t>
  </si>
  <si>
    <t xml:space="preserve">contributory service are entitled to an unreduced annual retirement benefit.  An unreduced annual </t>
  </si>
  <si>
    <t xml:space="preserve">and credited service is equal to or greater than 85 or after age 55 for Class B Foundation judicial </t>
  </si>
  <si>
    <t xml:space="preserve">retirement benefit is also available after age 55 for Class A Foundation members where the sum of age </t>
  </si>
  <si>
    <t>members where the sum of age and credited service is equal to or greater than 80.  Class B</t>
  </si>
  <si>
    <t xml:space="preserve">Foundation public safety members can retire with an unreduced annual retirement benefit after </t>
  </si>
  <si>
    <t xml:space="preserve">age 55 with three years of contributory service.  An unreduced annual retirement benefit is also </t>
  </si>
  <si>
    <t xml:space="preserve">available after age 45 for Class B Foundation public safety members where the sum of age and </t>
  </si>
  <si>
    <t xml:space="preserve">credited service is equal to or greater than 75.  All Foundation retirement benefits that do not </t>
  </si>
  <si>
    <t>Members that were hired on/after July 1, 2017, are Generational members.  Class A Generational</t>
  </si>
  <si>
    <t xml:space="preserve">members and Class B Generational judicial members who retire after age 67 with three years of </t>
  </si>
  <si>
    <t xml:space="preserve">public safety members can retire with an unreduced annual retirement benefit after age 57 with </t>
  </si>
  <si>
    <t>benefit.  All Generational retirement benefits that do not meet the above criteria may be payable</t>
  </si>
  <si>
    <t>at a reduced level.  Generational members will also have a variable retirement account (VRA)</t>
  </si>
  <si>
    <t xml:space="preserve">established, in which they will receive up to 1.5 percent of compensation funded by part of the </t>
  </si>
  <si>
    <t xml:space="preserve">employer contribution.  VRAs will receive investment earnings based on investment returns.  </t>
  </si>
  <si>
    <t>Collective employer contributions made during measurement period</t>
  </si>
  <si>
    <r>
      <t xml:space="preserve">  Collective plan pension expense (reduction of pension expense) </t>
    </r>
    <r>
      <rPr>
        <i/>
        <sz val="9"/>
        <color theme="1"/>
        <rFont val="Arial"/>
        <family val="2"/>
      </rPr>
      <t>not including employer contributions</t>
    </r>
  </si>
  <si>
    <t xml:space="preserve">single-life benefit, a 60 percent joint and survivor benefit, or a 100 percent joint and survivor </t>
  </si>
  <si>
    <t>Legislation enacted in 2017 established the current COLA process.  At each valuation date:</t>
  </si>
  <si>
    <t xml:space="preserve">contributory service are entitled to an unreduced annual retirement benefit.   Class B Generational </t>
  </si>
  <si>
    <t xml:space="preserve">three years of contributory service.  At retirement, married Generational members may elect a </t>
  </si>
  <si>
    <t xml:space="preserve">Schedule of Pension Contributions. </t>
  </si>
  <si>
    <t>The County's/Municipality's share of contributions to the SDRS for the fiscal years</t>
  </si>
  <si>
    <t>8.0% of salary. State statute also requires the employer to contribute an amount equal to the employee's contribution.</t>
  </si>
  <si>
    <t xml:space="preserve">(NOTE: As required by paragraph 82 of Statement 68, information about factors that significantly affect trends in the amounts report in the schedules (required by paragraph 81)(for example, changes of benefit terms, changes in the size or composition of the population covered by the benefit terms, or the use of different assumptions) should be presented as notes to the schedules. 
(NOTE: The amounts presented for prior years should not be restated for the effects of changes—for example, changes of benefit terms or changes of assumption—that occurred subsequent to the measurement date of that information)
</t>
  </si>
  <si>
    <t>2019 Employer Share Retirement</t>
  </si>
  <si>
    <t>2019 Covered Payroll</t>
  </si>
  <si>
    <t>Future COLAs</t>
  </si>
  <si>
    <t xml:space="preserve">Changes from Prior Valuation </t>
  </si>
  <si>
    <t xml:space="preserve">Benefit Provision Changes </t>
  </si>
  <si>
    <t xml:space="preserve">Actuarial Assumption Changes </t>
  </si>
  <si>
    <t xml:space="preserve">Actuarial Method Changes </t>
  </si>
  <si>
    <t>Net Pension Liability (Asset)</t>
  </si>
  <si>
    <t>2020 Employer Share Retirement</t>
  </si>
  <si>
    <t>2020 Covered Payroll</t>
  </si>
  <si>
    <t xml:space="preserve">      615 Weed Control</t>
  </si>
  <si>
    <t xml:space="preserve">      516 Arts</t>
  </si>
  <si>
    <t>2021 Employer Share Retirement</t>
  </si>
  <si>
    <t>2021 Covered Payroll</t>
  </si>
  <si>
    <t>2022 Employer Share Retirement</t>
  </si>
  <si>
    <t>2022 Covered Payroll</t>
  </si>
  <si>
    <t>SDRS has four classes of members:  Class A general members, Class B public safety</t>
  </si>
  <si>
    <t xml:space="preserve">and judicial members, Class C Cement Plant Retirement Fund members, and </t>
  </si>
  <si>
    <t xml:space="preserve">Class D Department of Labor and Regulation members.   </t>
  </si>
  <si>
    <t>meet the above criteria may be payable at a reduced level.  Class A and B eligible</t>
  </si>
  <si>
    <t xml:space="preserve">spouses of Foundation members will receive a 60 percent joint survivor benefit when the member dies.   </t>
  </si>
  <si>
    <t>Legislation enacted in 2021 reduced the minimum COLA from 0.5 percent to 0.0 percent.</t>
  </si>
  <si>
    <t xml:space="preserve">  2.50 percent</t>
  </si>
  <si>
    <t xml:space="preserve">  Graded by years of service, from 7.66% at entry to 3.15% after 25 years of service</t>
  </si>
  <si>
    <t xml:space="preserve"> 6.50% net of plan investment expense.  This is composed of an average inflation rate of 2.50% and real returns of 4.00%</t>
  </si>
  <si>
    <t>Mortality Rates</t>
  </si>
  <si>
    <t>All mortality rates based on Pub-2010 amount-weighted mortality tables, projected generationally with</t>
  </si>
  <si>
    <t xml:space="preserve">     improvement scale MP-2020</t>
  </si>
  <si>
    <t>Active and Terminated Vested Members:</t>
  </si>
  <si>
    <t xml:space="preserve">     Teachers, Certified Regents, and Judicial: PubT-2010</t>
  </si>
  <si>
    <t xml:space="preserve">     Other Class A Members: PubG-2010</t>
  </si>
  <si>
    <t xml:space="preserve">     Public Safety Members: PubS-2010</t>
  </si>
  <si>
    <t>Retired Members:</t>
  </si>
  <si>
    <t xml:space="preserve">     Teachers, Certified Regents, and Judicial Retirees: PubT-2010, 108% of rates above age 65</t>
  </si>
  <si>
    <t xml:space="preserve">          rates at age 83 and above</t>
  </si>
  <si>
    <t xml:space="preserve">     Public Safety Retirees: PubS-2010, 102% of rates at all ages</t>
  </si>
  <si>
    <t>Beneficiaries:</t>
  </si>
  <si>
    <t xml:space="preserve">     PubG-2010 contingent survivor mortality table</t>
  </si>
  <si>
    <t>Disabled Members:</t>
  </si>
  <si>
    <t xml:space="preserve">     Public Safety: PubS-2010 disabled member mortality table</t>
  </si>
  <si>
    <t xml:space="preserve"> </t>
  </si>
  <si>
    <t xml:space="preserve">     Others: PubG-2010 disabled member mortality table</t>
  </si>
  <si>
    <t xml:space="preserve">     Other Class A Retirees: PubG-2010, 93% of rates through age 74, increasing by 2% per year until 111% of</t>
  </si>
  <si>
    <t>2023 Employer Share Retirement</t>
  </si>
  <si>
    <t>2023 Covered Payroll</t>
  </si>
  <si>
    <t>No changes in actuarial methods were made since the prior valuation.</t>
  </si>
  <si>
    <t>The SDRS COLA equals the percentage increase in the most recent third calendar quarter CPI-W over the prior year, no less than 0% and no greater than 3.5%. However, if the FVFR assuming the long-term COLA is equal to the baseline COLA assumption (currently 2.25%) is less than 100%, the maximum COLA payable will be limited to the increase that if assumed on a long-term basis, results in a FVFR equal to or exceeding 100%.</t>
  </si>
  <si>
    <t>Actuarial assumptions are reviewed for reasonability annually and reviewed in depth periodically, with the next experience analysis anticipated before the June 30, 2027 Actuarial Valuation and any recommended changes approved by the Board of Trustees are anticipated to be first implemented in the June 30, 2027 Actuarial Valuation.</t>
  </si>
  <si>
    <t>The details of the changes since the last valuation are as follows.</t>
  </si>
  <si>
    <t>contribution plan type provisions and is administered by SDRS to provide retirement benefits for</t>
  </si>
  <si>
    <t xml:space="preserve">employees of the State of South Dakota and its political subdivisions.  The SDRS provide retirement, </t>
  </si>
  <si>
    <t>Public Equity</t>
  </si>
  <si>
    <t>Investment Grade Debt</t>
  </si>
  <si>
    <t>High Yield Debt</t>
  </si>
  <si>
    <t xml:space="preserve">Dakota Retirement System (SDRS).   SDRS is a hybrid defined benefit plan designed with several defined </t>
  </si>
  <si>
    <t>at 6/30/24</t>
  </si>
  <si>
    <t>2024 Employer Share Retirement</t>
  </si>
  <si>
    <t>2024 Covered Payroll</t>
  </si>
  <si>
    <r>
      <t>Deferred Outflows of Resources--</t>
    </r>
    <r>
      <rPr>
        <sz val="10"/>
        <color theme="1"/>
        <rFont val="Arial"/>
        <family val="2"/>
      </rPr>
      <t>Employer contributions 7/1/24 to 12/31/24</t>
    </r>
  </si>
  <si>
    <t xml:space="preserve"> Last 10 Years </t>
  </si>
  <si>
    <t xml:space="preserve">disability, and survivor benefits.  Authority for establishing, </t>
  </si>
  <si>
    <t xml:space="preserve">actuarial experience study for the period of July 1, 2016 to June 30, 2021.   </t>
  </si>
  <si>
    <t>SCHEDULE OF THE MUNICIPALITY'S PROPORTIONATE SHARE OF THE NET PENSION LIABILITY (ASSET)</t>
  </si>
  <si>
    <t>Calendar Year</t>
  </si>
  <si>
    <t xml:space="preserve">Plan Fiduciary Net Position as a Percentage of the Total Pension Liability (Asset) </t>
  </si>
  <si>
    <r>
      <rPr>
        <b/>
        <sz val="10"/>
        <color theme="1"/>
        <rFont val="Arial"/>
        <family val="2"/>
      </rPr>
      <t xml:space="preserve">* </t>
    </r>
    <r>
      <rPr>
        <sz val="10"/>
        <color theme="1"/>
        <rFont val="Arial"/>
        <family val="2"/>
      </rPr>
      <t xml:space="preserve"> The amounts presented for each year were determined as of the measurement date of the collective net pension liability (asset) which is 6/30.</t>
    </r>
  </si>
  <si>
    <r>
      <t>COUNTY</t>
    </r>
    <r>
      <rPr>
        <b/>
        <i/>
        <sz val="12"/>
        <color theme="1"/>
        <rFont val="Arial"/>
        <family val="2"/>
      </rPr>
      <t xml:space="preserve"> </t>
    </r>
    <r>
      <rPr>
        <b/>
        <sz val="12"/>
        <color theme="1"/>
        <rFont val="Arial"/>
        <family val="2"/>
      </rPr>
      <t>OF __________________________</t>
    </r>
  </si>
  <si>
    <t>County's Proportion of the Net Pension Liability/Asset</t>
  </si>
  <si>
    <t>County's Proportionate Share of the Net Pension Liability/Asset</t>
  </si>
  <si>
    <t>County's Covered Payroll</t>
  </si>
  <si>
    <t>County's Proportionate Share of the Net Pension Liability (Asset) as a Percentage of its Covered Payroll</t>
  </si>
  <si>
    <t>Contractually Required Contribution</t>
  </si>
  <si>
    <t>Contributions in Relation to the Contractually Required Contribution</t>
  </si>
  <si>
    <t>Contribution Deficiency (Excess)</t>
  </si>
  <si>
    <t>Contributions as a Percentage of Covered Payroll</t>
  </si>
  <si>
    <t>Covered Payroll</t>
  </si>
  <si>
    <t>________________________ COUNTY</t>
  </si>
  <si>
    <t>SCHEDULE OF THE COUNTY PENSION CONTRIBUTIONS</t>
  </si>
  <si>
    <t>SUPPLEMENTARY INFORMATION</t>
  </si>
  <si>
    <t>__________________COUNTY</t>
  </si>
  <si>
    <t xml:space="preserve">Notes to Supplementary Information </t>
  </si>
  <si>
    <t>This worksheet is intended to assist Local Gov'ts in the proper accounting for GASB 68 Pension for Employers in CY25 (implementation in CY15).</t>
  </si>
  <si>
    <t xml:space="preserve">Amounts--June 30, 2025.   The amortization period is based on the remaining expected service lives of all employees that are </t>
  </si>
  <si>
    <r>
      <t xml:space="preserve">provided with pensions through SDRS  = </t>
    </r>
    <r>
      <rPr>
        <b/>
        <i/>
        <sz val="12"/>
        <color theme="1"/>
        <rFont val="Arial"/>
        <family val="2"/>
      </rPr>
      <t>4.29 years</t>
    </r>
    <r>
      <rPr>
        <i/>
        <sz val="12"/>
        <color theme="1"/>
        <rFont val="Arial"/>
        <family val="2"/>
      </rPr>
      <t xml:space="preserve">.  </t>
    </r>
  </si>
  <si>
    <t>at 6/30/25</t>
  </si>
  <si>
    <t>In addition, the Employers proportionate share of collective pension expense (reduction of pension expense) for the measurement period ending June 30 2025 is:</t>
  </si>
  <si>
    <t>GASB 68: PENSION  FOR EMPLOYERS- DECEMBER 31, 2025 YEAR-END CALCULATIONS</t>
  </si>
  <si>
    <t>2025 Employer Share Retirement</t>
  </si>
  <si>
    <t>2025 Covered Payroll</t>
  </si>
  <si>
    <t xml:space="preserve">●  July 1, 2024 to December 31, 2024= </t>
  </si>
  <si>
    <t>reported as a deferred outflow of resources at 12/31/24</t>
  </si>
  <si>
    <t xml:space="preserve">●  January 1, 2025 to June 30, 2025= </t>
  </si>
  <si>
    <t xml:space="preserve">● July 1, 2025 to December 31, 2025 = </t>
  </si>
  <si>
    <t xml:space="preserve">  Prepare Journal Entries for Employer's Fiscal Year Ending 12/31/25</t>
  </si>
  <si>
    <r>
      <t>Employer Contribution Expense--</t>
    </r>
    <r>
      <rPr>
        <sz val="10"/>
        <color theme="1"/>
        <rFont val="Arial"/>
        <family val="2"/>
      </rPr>
      <t>Employer contributions 7/1/24 to 12/31/24</t>
    </r>
  </si>
  <si>
    <r>
      <t xml:space="preserve">     Deferred Outflows of Resources--</t>
    </r>
    <r>
      <rPr>
        <sz val="10"/>
        <color theme="1"/>
        <rFont val="Arial"/>
        <family val="2"/>
      </rPr>
      <t>Employer contributions 7/1/24 to 12/31/24</t>
    </r>
  </si>
  <si>
    <r>
      <t>Deferred Outflows of Resources--</t>
    </r>
    <r>
      <rPr>
        <sz val="10"/>
        <color theme="1"/>
        <rFont val="Arial"/>
        <family val="2"/>
      </rPr>
      <t>Employer contributions 7/1/25 to 12/31/25</t>
    </r>
  </si>
  <si>
    <r>
      <t xml:space="preserve">      Employer Contribution Expense--</t>
    </r>
    <r>
      <rPr>
        <sz val="10"/>
        <color theme="1"/>
        <rFont val="Arial"/>
        <family val="2"/>
      </rPr>
      <t>Employer contributions 7/1/25 to 12/31/25</t>
    </r>
  </si>
  <si>
    <t xml:space="preserve">     Pension Expense-proportionate share of prior period adjustment </t>
  </si>
  <si>
    <t xml:space="preserve">Retirement System recognized a collective prior period adjustment to Net Pension Asset of </t>
  </si>
  <si>
    <t xml:space="preserve">pension expense in this period.   </t>
  </si>
  <si>
    <t xml:space="preserve">of ($316,989).   To record employer's proportionate share of the immaterial PPA as a </t>
  </si>
  <si>
    <t>The June 30, 2025 Actuarial Valuation reflects no changes to the plan provisions or actuarial methods and
one change to the actuarial assumptions from the June 30, 2024 Actuarial Valuation.</t>
  </si>
  <si>
    <t>During the 2025 Legislative Session no significant SDRS benefit changes were made.</t>
  </si>
  <si>
    <t>As of June 30, 2024, the FVFR, assuming the long-term COLA is equal to the baseline COLA assumption
(2.25%), was less than 100% and the July 2025 SDRS COLA was limited to a restricted maximum of 1.71%.
For the June 30, 2024 Actuarial Valuation, future COLAs were assumed to equal the restricted maximum
COLA assumption of 1.71%.</t>
  </si>
  <si>
    <t>As of June 30, 2025, the FVFR, assuming future COLAs equal to the baseline COLA assumption of 2.25% is
again less than 100% and the July 2026 SDRS COLA is limited to a restricted maximum of 1.56%. The July
2026 SDRS COLA will equal inflation, no less than 0% and no greater than 1.56%. For this June 30, 2025
Actuarial Valuation, future COLAs were assumed to equal the restricted maximum COLA of 1.56%.</t>
  </si>
  <si>
    <t xml:space="preserve">administering and amending plan provisions are found in SDCL 3-12C.  The SDRS </t>
  </si>
  <si>
    <t>ended December 31, 2025, 2024 and 2023, equal to required contributions each year, were as follows:</t>
  </si>
  <si>
    <t xml:space="preserve">At June 30, 2025, SDRS is 100.1% funded and accordingly has a net pension asset.  The </t>
  </si>
  <si>
    <t>System, for the County/Municipality as of the measurement period ending June 30, 2025 and reported</t>
  </si>
  <si>
    <t xml:space="preserve">At December 31, 2025, the County/Municipality reported a liability (asset) of </t>
  </si>
  <si>
    <t>as of June 30 ,2025 and the total pension liability (asset) used to calculate the net pension liability</t>
  </si>
  <si>
    <t>pension plan relative to the contributions of all participating entities.  At June 30, 2025 the</t>
  </si>
  <si>
    <t>from its proportion measured as of June 30, 2024.</t>
  </si>
  <si>
    <t>For the year ended December 31, 2025, the County/Municipality recognized pension expense (reduction of pension</t>
  </si>
  <si>
    <t>At December 31, 2025 the County/Municipality reported deferred outflows or resources</t>
  </si>
  <si>
    <t>net pension liability in the year ending December 31, 2026.  Other amounts reported as deferred</t>
  </si>
  <si>
    <t xml:space="preserve">The total pension liability (asset) in the June 30, 2025 actuarial valuation was determined using the </t>
  </si>
  <si>
    <t xml:space="preserve">  1.56%</t>
  </si>
  <si>
    <t xml:space="preserve">The actuarial assumptions used in the June 30, 2025 valuation were based on the results of an </t>
  </si>
  <si>
    <t>allocation as of June 30, 2025 (see the discussion of the pension plan's investment policy) are</t>
  </si>
  <si>
    <t>by the County/Municipality as of December 31, 2025 are as follows: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</si>
</sst>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44" formatCode="_(&quot;$&quot;* #,##0.00_);_(&quot;$&quot;* \(#,##0.00\);_(&quot;$&quot;* &quot;-&quot;??_);_(@_)"/>
    <numFmt numFmtId="43" formatCode="_(* #,##0.00_);_(* \(#,##0.00\);_(* &quot;-&quot;??_);_(@_)"/>
    <numFmt numFmtId="164" formatCode="0.00000000%"/>
    <numFmt numFmtId="165" formatCode="_(* #,##0_);_(* \(#,##0\);_(* &quot;-&quot;??_);_(@_)"/>
    <numFmt numFmtId="166" formatCode="0.0%"/>
    <numFmt numFmtId="167" formatCode="_(&quot;$&quot;* #,##0.00_);_(&quot;$&quot;* \(#,##0.00\)"/>
    <numFmt numFmtId="168" formatCode="0.000000%"/>
    <numFmt numFmtId="169" formatCode="0.000000000"/>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Arial"/>
      <family val="2"/>
    </font>
    <font>
      <sz val="12"/>
      <color theme="1"/>
      <name val="Arial"/>
      <family val="2"/>
    </font>
    <font>
      <u/>
      <sz val="12"/>
      <color theme="1"/>
      <name val="Arial"/>
      <family val="2"/>
    </font>
    <font>
      <sz val="12"/>
      <color rgb="FFFF0000"/>
      <name val="Arial"/>
      <family val="2"/>
    </font>
    <font>
      <b/>
      <u/>
      <sz val="12"/>
      <color theme="1"/>
      <name val="Arial"/>
      <family val="2"/>
    </font>
    <font>
      <i/>
      <sz val="12"/>
      <color theme="1"/>
      <name val="Arial"/>
      <family val="2"/>
    </font>
    <font>
      <b/>
      <i/>
      <sz val="12"/>
      <color theme="1"/>
      <name val="Arial"/>
      <family val="2"/>
    </font>
    <font>
      <b/>
      <sz val="12"/>
      <color theme="1"/>
      <name val="Calibri"/>
      <family val="2"/>
    </font>
    <font>
      <i/>
      <sz val="11"/>
      <color theme="1"/>
      <name val="Arial"/>
      <family val="2"/>
    </font>
    <font>
      <sz val="12"/>
      <color theme="1"/>
      <name val="Calibri"/>
      <family val="2"/>
    </font>
    <font>
      <sz val="10"/>
      <color theme="1"/>
      <name val="Arial"/>
      <family val="2"/>
    </font>
    <font>
      <u/>
      <sz val="11"/>
      <color theme="10"/>
      <name val="Calibri"/>
      <family val="2"/>
      <scheme val="minor"/>
    </font>
    <font>
      <sz val="11"/>
      <name val="Calibri"/>
      <family val="2"/>
      <scheme val="minor"/>
    </font>
    <font>
      <sz val="12"/>
      <color rgb="FF00B050"/>
      <name val="Arial"/>
      <family val="2"/>
    </font>
    <font>
      <b/>
      <sz val="10"/>
      <name val="Arial"/>
      <family val="2"/>
    </font>
    <font>
      <sz val="10"/>
      <name val="Arial"/>
      <family val="2"/>
    </font>
    <font>
      <u/>
      <sz val="10"/>
      <name val="Arial"/>
      <family val="2"/>
    </font>
    <font>
      <i/>
      <sz val="11"/>
      <color rgb="FFFF0000"/>
      <name val="Calibri"/>
      <family val="2"/>
      <scheme val="minor"/>
    </font>
    <font>
      <sz val="9"/>
      <name val="Arial"/>
      <family val="2"/>
    </font>
    <font>
      <sz val="10"/>
      <color rgb="FFFF0000"/>
      <name val="Arial"/>
      <family val="2"/>
    </font>
    <font>
      <sz val="8"/>
      <name val="Arial"/>
      <family val="2"/>
    </font>
    <font>
      <b/>
      <sz val="9"/>
      <color indexed="81"/>
      <name val="Tahoma"/>
      <family val="2"/>
    </font>
    <font>
      <sz val="9"/>
      <color indexed="81"/>
      <name val="Tahoma"/>
      <family val="2"/>
    </font>
    <font>
      <sz val="11"/>
      <color rgb="FF0070C0"/>
      <name val="Calibri"/>
      <family val="2"/>
      <scheme val="minor"/>
    </font>
    <font>
      <b/>
      <i/>
      <sz val="11"/>
      <color theme="1"/>
      <name val="Arial"/>
      <family val="2"/>
    </font>
    <font>
      <sz val="11"/>
      <name val="Arial"/>
      <family val="2"/>
    </font>
    <font>
      <sz val="10"/>
      <color rgb="FF0070C0"/>
      <name val="Arial"/>
      <family val="2"/>
    </font>
    <font>
      <b/>
      <sz val="11"/>
      <name val="Arial"/>
      <family val="2"/>
    </font>
    <font>
      <b/>
      <sz val="10"/>
      <color indexed="81"/>
      <name val="Tahoma"/>
      <family val="2"/>
    </font>
    <font>
      <b/>
      <sz val="8"/>
      <color indexed="81"/>
      <name val="Tahoma"/>
      <family val="2"/>
    </font>
    <font>
      <b/>
      <sz val="16"/>
      <name val="Arial"/>
      <family val="2"/>
    </font>
    <font>
      <sz val="11"/>
      <color rgb="FFFF0000"/>
      <name val="Arial"/>
      <family val="2"/>
    </font>
    <font>
      <b/>
      <sz val="11"/>
      <color theme="1"/>
      <name val="Arial"/>
      <family val="2"/>
    </font>
    <font>
      <sz val="11"/>
      <color theme="1"/>
      <name val="Arial"/>
      <family val="2"/>
    </font>
    <font>
      <sz val="11"/>
      <color rgb="FF0070C0"/>
      <name val="Arial"/>
      <family val="2"/>
    </font>
    <font>
      <b/>
      <u/>
      <sz val="11"/>
      <color theme="1"/>
      <name val="Calibri"/>
      <family val="2"/>
      <scheme val="minor"/>
    </font>
    <font>
      <sz val="11"/>
      <color theme="1"/>
      <name val="Wingdings"/>
      <charset val="2"/>
    </font>
    <font>
      <i/>
      <sz val="11"/>
      <color theme="1"/>
      <name val="Calibri"/>
      <family val="2"/>
      <scheme val="minor"/>
    </font>
    <font>
      <b/>
      <i/>
      <sz val="11"/>
      <color theme="1"/>
      <name val="Calibri"/>
      <family val="2"/>
      <scheme val="minor"/>
    </font>
    <font>
      <u/>
      <sz val="11"/>
      <color theme="1"/>
      <name val="Calibri"/>
      <family val="2"/>
      <scheme val="minor"/>
    </font>
    <font>
      <sz val="10"/>
      <color theme="1"/>
      <name val="Calibri"/>
      <family val="2"/>
      <scheme val="minor"/>
    </font>
    <font>
      <b/>
      <u/>
      <sz val="11"/>
      <color theme="1"/>
      <name val="Arial"/>
      <family val="2"/>
    </font>
    <font>
      <i/>
      <sz val="12"/>
      <color rgb="FF00B050"/>
      <name val="Arial"/>
      <family val="2"/>
    </font>
    <font>
      <sz val="11"/>
      <color rgb="FF00B050"/>
      <name val="Arial"/>
      <family val="2"/>
    </font>
    <font>
      <sz val="11"/>
      <color rgb="FF00B050"/>
      <name val="Calibri"/>
      <family val="2"/>
      <scheme val="minor"/>
    </font>
    <font>
      <b/>
      <sz val="14"/>
      <name val="Arial"/>
      <family val="2"/>
    </font>
    <font>
      <b/>
      <sz val="8"/>
      <name val="Arial"/>
      <family val="2"/>
    </font>
    <font>
      <b/>
      <sz val="14"/>
      <color rgb="FFFF0000"/>
      <name val="Arial"/>
      <family val="2"/>
    </font>
    <font>
      <sz val="11"/>
      <color indexed="10"/>
      <name val="Arial"/>
      <family val="2"/>
    </font>
    <font>
      <sz val="8"/>
      <color indexed="10"/>
      <name val="Arial"/>
      <family val="2"/>
    </font>
    <font>
      <sz val="8"/>
      <color rgb="FFFF0000"/>
      <name val="Arial"/>
      <family val="2"/>
    </font>
    <font>
      <sz val="12"/>
      <color rgb="FF0070C0"/>
      <name val="Arial"/>
      <family val="2"/>
    </font>
    <font>
      <u/>
      <sz val="12"/>
      <color rgb="FF0070C0"/>
      <name val="Arial"/>
      <family val="2"/>
    </font>
    <font>
      <u val="singleAccounting"/>
      <sz val="12"/>
      <color rgb="FF0070C0"/>
      <name val="Arial"/>
      <family val="2"/>
    </font>
    <font>
      <b/>
      <i/>
      <sz val="11"/>
      <color rgb="FFFF0000"/>
      <name val="Calibri"/>
      <family val="2"/>
      <scheme val="minor"/>
    </font>
    <font>
      <b/>
      <u/>
      <sz val="9"/>
      <color indexed="81"/>
      <name val="Tahoma"/>
      <family val="2"/>
    </font>
    <font>
      <b/>
      <sz val="11"/>
      <color rgb="FF00B050"/>
      <name val="Arial"/>
      <family val="2"/>
    </font>
    <font>
      <i/>
      <sz val="9"/>
      <color theme="1"/>
      <name val="Arial"/>
      <family val="2"/>
    </font>
    <font>
      <b/>
      <u/>
      <sz val="11"/>
      <color rgb="FF000000"/>
      <name val="Arial"/>
      <family val="2"/>
    </font>
    <font>
      <b/>
      <u/>
      <sz val="11"/>
      <name val="Arial"/>
      <family val="2"/>
    </font>
    <font>
      <sz val="11"/>
      <color rgb="FF000000"/>
      <name val="Arial"/>
      <family val="2"/>
    </font>
    <font>
      <b/>
      <sz val="10"/>
      <color theme="1"/>
      <name val="Arial"/>
      <family val="2"/>
    </font>
    <font>
      <sz val="11"/>
      <color theme="4" tint="-0.249977111117893"/>
      <name val="Arial"/>
      <family val="2"/>
    </font>
    <font>
      <sz val="12"/>
      <color theme="4"/>
      <name val="Arial"/>
      <family val="2"/>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double">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cellStyleXfs>
  <cellXfs count="422">
    <xf numFmtId="0" fontId="0" fillId="0" borderId="0" xfId="0"/>
    <xf numFmtId="0" fontId="4" fillId="0" borderId="0" xfId="0" applyFont="1"/>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5" fillId="0" borderId="1" xfId="0" applyFont="1" applyBorder="1" applyAlignment="1">
      <alignment horizontal="center"/>
    </xf>
    <xf numFmtId="14" fontId="5" fillId="0" borderId="0" xfId="0" applyNumberFormat="1" applyFont="1"/>
    <xf numFmtId="0" fontId="7" fillId="0" borderId="0" xfId="0" applyFont="1" applyAlignment="1">
      <alignment horizontal="center"/>
    </xf>
    <xf numFmtId="44" fontId="7" fillId="0" borderId="0" xfId="2" applyFont="1" applyAlignment="1">
      <alignment horizontal="center"/>
    </xf>
    <xf numFmtId="0" fontId="7" fillId="0" borderId="0" xfId="0" applyFont="1"/>
    <xf numFmtId="0" fontId="5" fillId="0" borderId="3" xfId="0" applyFont="1" applyBorder="1"/>
    <xf numFmtId="0" fontId="5" fillId="0" borderId="4" xfId="0" applyFont="1" applyBorder="1"/>
    <xf numFmtId="14" fontId="6" fillId="0" borderId="5" xfId="0" applyNumberFormat="1" applyFont="1" applyBorder="1" applyAlignment="1">
      <alignment horizontal="center"/>
    </xf>
    <xf numFmtId="0" fontId="5" fillId="0" borderId="0" xfId="0" applyFont="1" applyBorder="1"/>
    <xf numFmtId="44" fontId="5" fillId="0" borderId="0" xfId="2" applyFont="1" applyBorder="1"/>
    <xf numFmtId="44" fontId="5" fillId="0" borderId="7" xfId="2" applyFont="1" applyBorder="1"/>
    <xf numFmtId="44" fontId="5" fillId="0" borderId="0" xfId="2" applyFont="1"/>
    <xf numFmtId="0" fontId="5" fillId="0" borderId="9" xfId="0" applyFont="1" applyBorder="1"/>
    <xf numFmtId="44" fontId="5" fillId="0" borderId="9" xfId="2" applyFont="1" applyBorder="1"/>
    <xf numFmtId="164" fontId="5" fillId="0" borderId="0" xfId="2" applyNumberFormat="1" applyFont="1" applyBorder="1"/>
    <xf numFmtId="0" fontId="5" fillId="0" borderId="0" xfId="0" applyFont="1" applyBorder="1" applyAlignment="1">
      <alignment horizontal="left"/>
    </xf>
    <xf numFmtId="0" fontId="5" fillId="0" borderId="4" xfId="0" applyFont="1" applyBorder="1" applyAlignment="1">
      <alignment horizontal="center"/>
    </xf>
    <xf numFmtId="0" fontId="5" fillId="0" borderId="5" xfId="0" applyFont="1" applyBorder="1" applyAlignment="1">
      <alignment horizontal="center"/>
    </xf>
    <xf numFmtId="0" fontId="5" fillId="0" borderId="0" xfId="0" applyFont="1" applyBorder="1" applyAlignment="1">
      <alignment horizontal="center"/>
    </xf>
    <xf numFmtId="0" fontId="5" fillId="0" borderId="7" xfId="0" applyFont="1" applyBorder="1" applyAlignment="1">
      <alignment horizontal="center"/>
    </xf>
    <xf numFmtId="0" fontId="6" fillId="0" borderId="7" xfId="0" applyFont="1" applyBorder="1" applyAlignment="1">
      <alignment horizontal="center"/>
    </xf>
    <xf numFmtId="0" fontId="5" fillId="0" borderId="6" xfId="0" applyFont="1" applyBorder="1"/>
    <xf numFmtId="0" fontId="5" fillId="0" borderId="0" xfId="0" quotePrefix="1" applyNumberFormat="1" applyFont="1" applyBorder="1" applyAlignment="1">
      <alignment horizontal="center"/>
    </xf>
    <xf numFmtId="44" fontId="5" fillId="0" borderId="0" xfId="0" applyNumberFormat="1" applyFont="1" applyBorder="1"/>
    <xf numFmtId="44" fontId="5" fillId="0" borderId="9" xfId="0" applyNumberFormat="1" applyFont="1" applyBorder="1"/>
    <xf numFmtId="0" fontId="5" fillId="0" borderId="5" xfId="0" applyFont="1" applyBorder="1"/>
    <xf numFmtId="0" fontId="4" fillId="0" borderId="0" xfId="0" applyFont="1" applyBorder="1"/>
    <xf numFmtId="14" fontId="6" fillId="0" borderId="0" xfId="0" applyNumberFormat="1" applyFont="1" applyBorder="1" applyAlignment="1">
      <alignment horizontal="center"/>
    </xf>
    <xf numFmtId="0" fontId="5" fillId="0" borderId="9" xfId="0" applyFont="1" applyBorder="1" applyAlignment="1"/>
    <xf numFmtId="0" fontId="4" fillId="0" borderId="9" xfId="0" applyFont="1" applyBorder="1"/>
    <xf numFmtId="0" fontId="4" fillId="0" borderId="13" xfId="0" applyFont="1" applyBorder="1"/>
    <xf numFmtId="0" fontId="9" fillId="0" borderId="0" xfId="0" applyFont="1"/>
    <xf numFmtId="0" fontId="8" fillId="0" borderId="0" xfId="0" applyFont="1"/>
    <xf numFmtId="0" fontId="10" fillId="0" borderId="0" xfId="0" applyFont="1"/>
    <xf numFmtId="0" fontId="6" fillId="0" borderId="0" xfId="0" applyFont="1" applyBorder="1" applyAlignment="1">
      <alignment horizontal="center"/>
    </xf>
    <xf numFmtId="0" fontId="5" fillId="0" borderId="8" xfId="0" applyFont="1" applyBorder="1"/>
    <xf numFmtId="0" fontId="5" fillId="0" borderId="0" xfId="0" quotePrefix="1" applyFont="1" applyAlignment="1">
      <alignment horizontal="center"/>
    </xf>
    <xf numFmtId="0" fontId="6" fillId="0" borderId="0" xfId="0" applyFont="1"/>
    <xf numFmtId="0" fontId="11" fillId="0" borderId="0" xfId="0" applyFont="1"/>
    <xf numFmtId="15" fontId="5" fillId="0" borderId="0" xfId="0" applyNumberFormat="1" applyFont="1" applyAlignment="1">
      <alignment horizontal="right"/>
    </xf>
    <xf numFmtId="15" fontId="13" fillId="0" borderId="0" xfId="0" applyNumberFormat="1" applyFont="1"/>
    <xf numFmtId="0" fontId="9" fillId="0" borderId="0" xfId="0" applyFont="1" applyBorder="1"/>
    <xf numFmtId="0" fontId="9" fillId="0" borderId="4" xfId="0" applyFont="1" applyBorder="1" applyAlignment="1">
      <alignment horizontal="center"/>
    </xf>
    <xf numFmtId="0" fontId="9" fillId="0" borderId="5" xfId="0" applyFont="1" applyBorder="1" applyAlignment="1">
      <alignment horizontal="center"/>
    </xf>
    <xf numFmtId="0" fontId="9" fillId="0" borderId="7" xfId="0" applyFont="1" applyBorder="1" applyAlignment="1">
      <alignment horizontal="center"/>
    </xf>
    <xf numFmtId="44" fontId="5" fillId="0" borderId="0" xfId="2" applyNumberFormat="1" applyFont="1" applyBorder="1"/>
    <xf numFmtId="0" fontId="5" fillId="0" borderId="10" xfId="0" applyFont="1" applyBorder="1"/>
    <xf numFmtId="44" fontId="5" fillId="0" borderId="0" xfId="0" applyNumberFormat="1" applyFont="1"/>
    <xf numFmtId="0" fontId="5" fillId="0" borderId="7" xfId="0" applyFont="1" applyBorder="1"/>
    <xf numFmtId="44" fontId="5" fillId="0" borderId="10" xfId="2" applyFont="1" applyBorder="1"/>
    <xf numFmtId="0" fontId="15" fillId="0" borderId="0" xfId="4" applyAlignment="1">
      <alignment vertical="center"/>
    </xf>
    <xf numFmtId="0" fontId="0" fillId="0" borderId="0" xfId="0" applyAlignment="1">
      <alignment horizontal="center" wrapText="1"/>
    </xf>
    <xf numFmtId="43" fontId="0" fillId="0" borderId="0" xfId="0" applyNumberFormat="1" applyBorder="1"/>
    <xf numFmtId="0" fontId="0" fillId="2" borderId="0" xfId="0" applyFill="1"/>
    <xf numFmtId="0" fontId="0" fillId="3" borderId="0" xfId="0" applyFill="1"/>
    <xf numFmtId="0" fontId="0" fillId="4" borderId="0" xfId="0" applyFill="1"/>
    <xf numFmtId="0" fontId="0" fillId="0" borderId="0" xfId="0"/>
    <xf numFmtId="0" fontId="3" fillId="0" borderId="0" xfId="0" applyFont="1"/>
    <xf numFmtId="0" fontId="2" fillId="0" borderId="0" xfId="0" applyFont="1"/>
    <xf numFmtId="0" fontId="16" fillId="0" borderId="0" xfId="0" applyFont="1"/>
    <xf numFmtId="43" fontId="2" fillId="0" borderId="0" xfId="0" applyNumberFormat="1" applyFont="1"/>
    <xf numFmtId="0" fontId="18" fillId="0" borderId="0" xfId="0" applyFont="1"/>
    <xf numFmtId="0" fontId="19" fillId="0" borderId="0" xfId="0" applyFont="1"/>
    <xf numFmtId="44" fontId="0" fillId="0" borderId="0" xfId="2" applyFont="1"/>
    <xf numFmtId="0" fontId="21" fillId="0" borderId="0" xfId="0" applyFont="1"/>
    <xf numFmtId="0" fontId="23" fillId="0" borderId="0" xfId="0" applyFont="1" applyAlignment="1">
      <alignment horizontal="right"/>
    </xf>
    <xf numFmtId="0" fontId="19" fillId="0" borderId="0" xfId="0" applyFont="1" applyAlignment="1">
      <alignment horizontal="left"/>
    </xf>
    <xf numFmtId="0" fontId="23" fillId="0" borderId="0" xfId="0" applyFont="1"/>
    <xf numFmtId="0" fontId="0" fillId="0" borderId="0" xfId="0" applyFill="1"/>
    <xf numFmtId="0" fontId="28" fillId="0" borderId="0" xfId="0" applyFont="1"/>
    <xf numFmtId="0" fontId="17" fillId="0" borderId="0" xfId="0" applyFont="1"/>
    <xf numFmtId="39" fontId="29" fillId="0" borderId="0" xfId="0" applyNumberFormat="1" applyFont="1"/>
    <xf numFmtId="44" fontId="30" fillId="0" borderId="0" xfId="2" applyFont="1"/>
    <xf numFmtId="44" fontId="27" fillId="0" borderId="0" xfId="2" applyFont="1"/>
    <xf numFmtId="0" fontId="27" fillId="0" borderId="0" xfId="0" applyFont="1"/>
    <xf numFmtId="0" fontId="30" fillId="0" borderId="0" xfId="0" applyFont="1"/>
    <xf numFmtId="44" fontId="30" fillId="0" borderId="0" xfId="0" applyNumberFormat="1" applyFont="1"/>
    <xf numFmtId="0" fontId="29" fillId="0" borderId="0" xfId="0" applyFont="1"/>
    <xf numFmtId="0" fontId="31" fillId="0" borderId="0" xfId="0" applyFont="1" applyBorder="1" applyAlignment="1">
      <alignment horizontal="center"/>
    </xf>
    <xf numFmtId="0" fontId="31" fillId="0" borderId="0" xfId="0" applyFont="1"/>
    <xf numFmtId="39" fontId="0" fillId="0" borderId="0" xfId="0" applyNumberFormat="1" applyBorder="1"/>
    <xf numFmtId="39" fontId="0" fillId="0" borderId="0" xfId="0" applyNumberFormat="1"/>
    <xf numFmtId="39" fontId="0" fillId="0" borderId="16" xfId="0" applyNumberFormat="1" applyBorder="1"/>
    <xf numFmtId="0" fontId="0" fillId="0" borderId="0" xfId="0" applyBorder="1"/>
    <xf numFmtId="39" fontId="0" fillId="0" borderId="2" xfId="0" applyNumberFormat="1" applyBorder="1"/>
    <xf numFmtId="0" fontId="29" fillId="2" borderId="0" xfId="0" applyFont="1" applyFill="1"/>
    <xf numFmtId="39" fontId="31" fillId="0" borderId="0" xfId="0" applyNumberFormat="1" applyFont="1" applyAlignment="1">
      <alignment horizontal="center"/>
    </xf>
    <xf numFmtId="0" fontId="0" fillId="0" borderId="0" xfId="0" quotePrefix="1" applyAlignment="1">
      <alignment horizontal="left"/>
    </xf>
    <xf numFmtId="39" fontId="0" fillId="0" borderId="1" xfId="0" applyNumberFormat="1" applyBorder="1"/>
    <xf numFmtId="39" fontId="0" fillId="0" borderId="11" xfId="0" applyNumberFormat="1" applyBorder="1"/>
    <xf numFmtId="0" fontId="34" fillId="0" borderId="0" xfId="0" applyFont="1" applyFill="1"/>
    <xf numFmtId="0" fontId="29" fillId="0" borderId="0" xfId="0" applyFont="1" applyFill="1"/>
    <xf numFmtId="0" fontId="31" fillId="0" borderId="0" xfId="0" applyFont="1" applyFill="1" applyAlignment="1">
      <alignment horizontal="center"/>
    </xf>
    <xf numFmtId="0" fontId="31" fillId="0" borderId="0" xfId="0" applyFont="1" applyFill="1" applyBorder="1" applyAlignment="1">
      <alignment horizontal="center"/>
    </xf>
    <xf numFmtId="14" fontId="29" fillId="0" borderId="0" xfId="0" applyNumberFormat="1" applyFont="1" applyFill="1"/>
    <xf numFmtId="43" fontId="29" fillId="0" borderId="0" xfId="0" applyNumberFormat="1" applyFont="1" applyFill="1"/>
    <xf numFmtId="0" fontId="0" fillId="2" borderId="0" xfId="0" applyFill="1" applyBorder="1"/>
    <xf numFmtId="0" fontId="36" fillId="0" borderId="0" xfId="0" applyFont="1"/>
    <xf numFmtId="0" fontId="37" fillId="0" borderId="0" xfId="0" applyFont="1"/>
    <xf numFmtId="0" fontId="36" fillId="0" borderId="0" xfId="0" applyFont="1" applyAlignment="1">
      <alignment horizontal="center"/>
    </xf>
    <xf numFmtId="0" fontId="37" fillId="0" borderId="0" xfId="0" applyFont="1" applyAlignment="1">
      <alignment horizontal="center"/>
    </xf>
    <xf numFmtId="0" fontId="31" fillId="0" borderId="0" xfId="0" applyFont="1" applyFill="1" applyAlignment="1">
      <alignment horizontal="left" wrapText="1"/>
    </xf>
    <xf numFmtId="44" fontId="38" fillId="0" borderId="0" xfId="2" applyNumberFormat="1" applyFont="1"/>
    <xf numFmtId="0" fontId="39" fillId="0" borderId="0" xfId="0" applyFont="1"/>
    <xf numFmtId="0" fontId="0" fillId="0" borderId="0" xfId="0" applyAlignment="1">
      <alignment horizontal="left"/>
    </xf>
    <xf numFmtId="0" fontId="40" fillId="0" borderId="0" xfId="0" applyFont="1" applyAlignment="1">
      <alignment horizontal="right"/>
    </xf>
    <xf numFmtId="0" fontId="41" fillId="0" borderId="0" xfId="0" applyFont="1"/>
    <xf numFmtId="0" fontId="42" fillId="0" borderId="0" xfId="0" applyFont="1"/>
    <xf numFmtId="43" fontId="27" fillId="0" borderId="0" xfId="0" applyNumberFormat="1" applyFont="1"/>
    <xf numFmtId="0" fontId="0" fillId="0" borderId="0" xfId="0" applyAlignment="1">
      <alignment horizontal="center"/>
    </xf>
    <xf numFmtId="0" fontId="43" fillId="0" borderId="0" xfId="0" applyFont="1" applyBorder="1" applyAlignment="1">
      <alignment horizontal="center"/>
    </xf>
    <xf numFmtId="44" fontId="0" fillId="0" borderId="0" xfId="0" applyNumberFormat="1"/>
    <xf numFmtId="44" fontId="27" fillId="0" borderId="1" xfId="2" applyFont="1" applyBorder="1"/>
    <xf numFmtId="44" fontId="27" fillId="0" borderId="16" xfId="2" applyFont="1" applyBorder="1"/>
    <xf numFmtId="0" fontId="0" fillId="0" borderId="0" xfId="0" applyFont="1"/>
    <xf numFmtId="44" fontId="27" fillId="0" borderId="0" xfId="0" applyNumberFormat="1" applyFont="1"/>
    <xf numFmtId="0" fontId="43" fillId="0" borderId="0" xfId="0" applyFont="1" applyAlignment="1">
      <alignment horizontal="center"/>
    </xf>
    <xf numFmtId="0" fontId="0" fillId="0" borderId="0" xfId="0" quotePrefix="1"/>
    <xf numFmtId="0" fontId="0" fillId="0" borderId="0" xfId="0" applyAlignment="1">
      <alignment horizontal="right"/>
    </xf>
    <xf numFmtId="44" fontId="27" fillId="0" borderId="1" xfId="0" applyNumberFormat="1" applyFont="1" applyBorder="1"/>
    <xf numFmtId="0" fontId="27" fillId="0" borderId="1" xfId="0" applyFont="1" applyBorder="1"/>
    <xf numFmtId="44" fontId="27" fillId="0" borderId="16" xfId="0" applyNumberFormat="1" applyFont="1" applyBorder="1"/>
    <xf numFmtId="43" fontId="27" fillId="0" borderId="16" xfId="0" applyNumberFormat="1" applyFont="1" applyBorder="1"/>
    <xf numFmtId="0" fontId="0" fillId="0" borderId="0" xfId="0" applyAlignment="1"/>
    <xf numFmtId="0" fontId="44" fillId="0" borderId="0" xfId="0" applyFont="1" applyAlignment="1"/>
    <xf numFmtId="0" fontId="44" fillId="0" borderId="0" xfId="0" applyFont="1" applyAlignment="1">
      <alignment horizontal="right"/>
    </xf>
    <xf numFmtId="0" fontId="43" fillId="0" borderId="0" xfId="0" applyFont="1"/>
    <xf numFmtId="166" fontId="0" fillId="0" borderId="0" xfId="0" applyNumberFormat="1"/>
    <xf numFmtId="9" fontId="0" fillId="0" borderId="14" xfId="0" applyNumberFormat="1" applyBorder="1"/>
    <xf numFmtId="9" fontId="0" fillId="0" borderId="0" xfId="0" applyNumberFormat="1" applyAlignment="1">
      <alignment horizontal="center"/>
    </xf>
    <xf numFmtId="44" fontId="27" fillId="0" borderId="0" xfId="2" applyFont="1" applyBorder="1"/>
    <xf numFmtId="0" fontId="27" fillId="0" borderId="0" xfId="0" applyFont="1" applyBorder="1"/>
    <xf numFmtId="0" fontId="3" fillId="0" borderId="0" xfId="0" applyFont="1" applyFill="1"/>
    <xf numFmtId="10" fontId="37" fillId="0" borderId="0" xfId="0" applyNumberFormat="1" applyFont="1" applyAlignment="1">
      <alignment horizontal="right"/>
    </xf>
    <xf numFmtId="0" fontId="4" fillId="0" borderId="0" xfId="0" applyFont="1" applyAlignment="1">
      <alignment horizontal="center" vertical="center"/>
    </xf>
    <xf numFmtId="0" fontId="5" fillId="0" borderId="0" xfId="0" applyFont="1" applyAlignment="1">
      <alignment horizontal="center" vertical="center"/>
    </xf>
    <xf numFmtId="0" fontId="45" fillId="0" borderId="0" xfId="0" applyFont="1" applyAlignment="1">
      <alignment vertical="center"/>
    </xf>
    <xf numFmtId="0" fontId="36" fillId="0" borderId="0" xfId="0" applyFont="1" applyAlignment="1">
      <alignment vertical="center" wrapText="1"/>
    </xf>
    <xf numFmtId="0" fontId="36" fillId="0" borderId="0" xfId="0" applyFont="1" applyAlignment="1">
      <alignment wrapText="1"/>
    </xf>
    <xf numFmtId="0" fontId="9" fillId="0" borderId="0" xfId="0" applyFont="1"/>
    <xf numFmtId="0" fontId="5" fillId="0" borderId="6" xfId="0" applyFont="1" applyBorder="1"/>
    <xf numFmtId="0" fontId="5" fillId="0" borderId="0" xfId="0" applyFont="1" applyBorder="1"/>
    <xf numFmtId="0" fontId="5" fillId="0" borderId="0" xfId="0" applyFont="1"/>
    <xf numFmtId="0" fontId="5" fillId="0" borderId="8" xfId="0" applyFont="1" applyBorder="1"/>
    <xf numFmtId="0" fontId="5" fillId="0" borderId="9" xfId="0" applyFont="1" applyBorder="1"/>
    <xf numFmtId="0" fontId="5" fillId="0" borderId="6" xfId="0" applyFont="1" applyBorder="1" applyAlignment="1">
      <alignment horizontal="left"/>
    </xf>
    <xf numFmtId="0" fontId="5" fillId="0" borderId="0" xfId="0" applyFont="1" applyBorder="1" applyAlignment="1">
      <alignment horizontal="left"/>
    </xf>
    <xf numFmtId="0" fontId="5" fillId="0" borderId="0" xfId="0" applyFont="1" applyBorder="1" applyAlignment="1"/>
    <xf numFmtId="0" fontId="9" fillId="0" borderId="0" xfId="0" applyFont="1"/>
    <xf numFmtId="0" fontId="5" fillId="0" borderId="0" xfId="0" applyFont="1"/>
    <xf numFmtId="0" fontId="5" fillId="0" borderId="7" xfId="0" applyFont="1" applyBorder="1" applyAlignment="1"/>
    <xf numFmtId="0" fontId="6" fillId="0" borderId="6" xfId="0" applyFont="1" applyBorder="1" applyAlignment="1"/>
    <xf numFmtId="0" fontId="4" fillId="0" borderId="7" xfId="0" applyFont="1" applyBorder="1"/>
    <xf numFmtId="0" fontId="4" fillId="0" borderId="10" xfId="0" applyFont="1" applyBorder="1"/>
    <xf numFmtId="0" fontId="37" fillId="0" borderId="3" xfId="0" applyFont="1" applyBorder="1"/>
    <xf numFmtId="44" fontId="37" fillId="0" borderId="0" xfId="2" applyFont="1" applyBorder="1"/>
    <xf numFmtId="0" fontId="31" fillId="0" borderId="0" xfId="0" applyFont="1" applyAlignment="1">
      <alignment horizontal="center"/>
    </xf>
    <xf numFmtId="0" fontId="31" fillId="0" borderId="1" xfId="0" applyFont="1" applyBorder="1" applyAlignment="1">
      <alignment horizontal="center"/>
    </xf>
    <xf numFmtId="0" fontId="46" fillId="0" borderId="0" xfId="0" applyFont="1"/>
    <xf numFmtId="0" fontId="48" fillId="0" borderId="0" xfId="0" applyFont="1"/>
    <xf numFmtId="0" fontId="48" fillId="0" borderId="0" xfId="0" applyFont="1" applyFill="1"/>
    <xf numFmtId="0" fontId="5" fillId="0" borderId="0" xfId="0" applyFont="1"/>
    <xf numFmtId="0" fontId="24" fillId="0" borderId="0" xfId="0" applyFont="1"/>
    <xf numFmtId="0" fontId="31" fillId="0" borderId="0" xfId="0" applyFont="1" applyBorder="1"/>
    <xf numFmtId="0" fontId="50" fillId="0" borderId="0" xfId="0" applyFont="1" applyAlignment="1">
      <alignment horizontal="center"/>
    </xf>
    <xf numFmtId="0" fontId="31" fillId="0" borderId="1" xfId="0" applyFont="1" applyBorder="1" applyAlignment="1">
      <alignment horizontal="left"/>
    </xf>
    <xf numFmtId="4" fontId="0" fillId="0" borderId="1" xfId="0" applyNumberFormat="1" applyBorder="1"/>
    <xf numFmtId="4" fontId="0" fillId="0" borderId="0" xfId="0" applyNumberFormat="1" applyBorder="1"/>
    <xf numFmtId="4" fontId="0" fillId="0" borderId="0" xfId="0" applyNumberFormat="1" applyBorder="1" applyAlignment="1">
      <alignment horizontal="center"/>
    </xf>
    <xf numFmtId="0" fontId="24" fillId="0" borderId="0" xfId="0" applyFont="1" applyAlignment="1">
      <alignment horizontal="left"/>
    </xf>
    <xf numFmtId="4" fontId="0" fillId="0" borderId="11" xfId="0" applyNumberFormat="1" applyBorder="1"/>
    <xf numFmtId="4" fontId="0" fillId="0" borderId="2" xfId="0" applyNumberFormat="1" applyBorder="1"/>
    <xf numFmtId="4" fontId="0" fillId="0" borderId="16" xfId="0" applyNumberFormat="1" applyBorder="1"/>
    <xf numFmtId="0" fontId="31" fillId="0" borderId="0" xfId="0" quotePrefix="1" applyFont="1" applyAlignment="1">
      <alignment horizontal="left"/>
    </xf>
    <xf numFmtId="39" fontId="24" fillId="0" borderId="0" xfId="0" applyNumberFormat="1" applyFont="1" applyBorder="1"/>
    <xf numFmtId="0" fontId="24" fillId="0" borderId="0" xfId="0" quotePrefix="1" applyFont="1" applyAlignment="1">
      <alignment horizontal="left"/>
    </xf>
    <xf numFmtId="0" fontId="29" fillId="0" borderId="0" xfId="0" quotePrefix="1" applyFont="1" applyAlignment="1">
      <alignment horizontal="left"/>
    </xf>
    <xf numFmtId="4" fontId="0" fillId="0" borderId="16" xfId="0" applyNumberFormat="1" applyBorder="1" applyAlignment="1">
      <alignment horizontal="right"/>
    </xf>
    <xf numFmtId="4" fontId="0" fillId="0" borderId="0" xfId="0" applyNumberFormat="1" applyBorder="1" applyAlignment="1">
      <alignment horizontal="right"/>
    </xf>
    <xf numFmtId="0" fontId="24" fillId="2" borderId="0" xfId="0" applyFont="1" applyFill="1"/>
    <xf numFmtId="0" fontId="24" fillId="2" borderId="0" xfId="0" applyFont="1" applyFill="1" applyAlignment="1">
      <alignment horizontal="left"/>
    </xf>
    <xf numFmtId="0" fontId="24" fillId="2" borderId="0" xfId="0" quotePrefix="1" applyFont="1" applyFill="1" applyAlignment="1">
      <alignment horizontal="left"/>
    </xf>
    <xf numFmtId="39" fontId="24" fillId="2" borderId="0" xfId="0" applyNumberFormat="1" applyFont="1" applyFill="1" applyBorder="1"/>
    <xf numFmtId="0" fontId="24" fillId="0" borderId="0" xfId="0" applyFont="1" applyBorder="1"/>
    <xf numFmtId="0" fontId="50" fillId="0" borderId="1" xfId="0" applyFont="1" applyBorder="1" applyAlignment="1">
      <alignment horizontal="center"/>
    </xf>
    <xf numFmtId="0" fontId="24" fillId="0" borderId="0" xfId="0" applyFont="1" applyFill="1" applyBorder="1"/>
    <xf numFmtId="0" fontId="24" fillId="0" borderId="0" xfId="0" quotePrefix="1" applyFont="1" applyBorder="1" applyAlignment="1">
      <alignment horizontal="left"/>
    </xf>
    <xf numFmtId="0" fontId="0" fillId="0" borderId="0" xfId="0" applyFill="1" applyBorder="1"/>
    <xf numFmtId="0" fontId="24" fillId="2" borderId="0" xfId="0" quotePrefix="1" applyFont="1" applyFill="1" applyBorder="1" applyAlignment="1">
      <alignment horizontal="left"/>
    </xf>
    <xf numFmtId="4" fontId="27" fillId="0" borderId="1" xfId="0" applyNumberFormat="1" applyFont="1" applyBorder="1"/>
    <xf numFmtId="4" fontId="27" fillId="0" borderId="11" xfId="0" applyNumberFormat="1" applyFont="1" applyBorder="1"/>
    <xf numFmtId="39" fontId="27" fillId="0" borderId="1" xfId="0" applyNumberFormat="1" applyFont="1" applyBorder="1"/>
    <xf numFmtId="39" fontId="16" fillId="0" borderId="0" xfId="0" applyNumberFormat="1" applyFont="1" applyBorder="1"/>
    <xf numFmtId="0" fontId="54" fillId="2" borderId="0" xfId="0" applyFont="1" applyFill="1"/>
    <xf numFmtId="0" fontId="5" fillId="0" borderId="0" xfId="0" applyFont="1"/>
    <xf numFmtId="10" fontId="38" fillId="0" borderId="0" xfId="3" applyNumberFormat="1" applyFont="1" applyAlignment="1">
      <alignment horizontal="right"/>
    </xf>
    <xf numFmtId="44" fontId="16" fillId="0" borderId="0" xfId="0" applyNumberFormat="1" applyFont="1" applyAlignment="1">
      <alignment horizontal="left"/>
    </xf>
    <xf numFmtId="44" fontId="55" fillId="0" borderId="11" xfId="2" applyFont="1" applyBorder="1"/>
    <xf numFmtId="164" fontId="55" fillId="0" borderId="9" xfId="2" applyNumberFormat="1" applyFont="1" applyBorder="1"/>
    <xf numFmtId="44" fontId="55" fillId="0" borderId="12" xfId="2" applyFont="1" applyBorder="1"/>
    <xf numFmtId="164" fontId="55" fillId="0" borderId="10" xfId="2" applyNumberFormat="1" applyFont="1" applyBorder="1"/>
    <xf numFmtId="44" fontId="55" fillId="0" borderId="0" xfId="0" applyNumberFormat="1" applyFont="1" applyBorder="1" applyAlignment="1">
      <alignment horizontal="center"/>
    </xf>
    <xf numFmtId="0" fontId="55" fillId="0" borderId="0" xfId="0" applyFont="1" applyBorder="1" applyAlignment="1">
      <alignment horizontal="center"/>
    </xf>
    <xf numFmtId="0" fontId="55" fillId="0" borderId="0" xfId="0" applyFont="1" applyBorder="1"/>
    <xf numFmtId="44" fontId="55" fillId="0" borderId="0" xfId="2" applyFont="1" applyBorder="1" applyAlignment="1">
      <alignment horizontal="center"/>
    </xf>
    <xf numFmtId="44" fontId="55" fillId="0" borderId="0" xfId="0" applyNumberFormat="1" applyFont="1" applyBorder="1"/>
    <xf numFmtId="44" fontId="55" fillId="0" borderId="7" xfId="0" applyNumberFormat="1" applyFont="1" applyBorder="1"/>
    <xf numFmtId="44" fontId="55" fillId="0" borderId="9" xfId="0" applyNumberFormat="1" applyFont="1" applyBorder="1"/>
    <xf numFmtId="0" fontId="55" fillId="0" borderId="9" xfId="0" applyFont="1" applyBorder="1"/>
    <xf numFmtId="44" fontId="55" fillId="0" borderId="10" xfId="0" applyNumberFormat="1" applyFont="1" applyBorder="1"/>
    <xf numFmtId="44" fontId="55" fillId="0" borderId="1" xfId="2" applyFont="1" applyBorder="1" applyAlignment="1">
      <alignment horizontal="center"/>
    </xf>
    <xf numFmtId="44" fontId="55" fillId="0" borderId="9" xfId="2" applyFont="1" applyBorder="1" applyAlignment="1">
      <alignment horizontal="center"/>
    </xf>
    <xf numFmtId="0" fontId="56" fillId="0" borderId="0" xfId="0" applyFont="1" applyBorder="1" applyAlignment="1">
      <alignment horizontal="center"/>
    </xf>
    <xf numFmtId="0" fontId="56" fillId="0" borderId="7" xfId="0" applyFont="1" applyBorder="1" applyAlignment="1">
      <alignment horizontal="center"/>
    </xf>
    <xf numFmtId="44" fontId="55" fillId="0" borderId="0" xfId="2" applyFont="1" applyBorder="1"/>
    <xf numFmtId="44" fontId="55" fillId="0" borderId="7" xfId="2" applyFont="1" applyBorder="1"/>
    <xf numFmtId="44" fontId="55" fillId="0" borderId="9" xfId="2" applyFont="1" applyBorder="1"/>
    <xf numFmtId="44" fontId="57" fillId="0" borderId="20" xfId="2" applyFont="1" applyBorder="1"/>
    <xf numFmtId="7" fontId="55" fillId="0" borderId="0" xfId="0" applyNumberFormat="1" applyFont="1"/>
    <xf numFmtId="44" fontId="55" fillId="0" borderId="0" xfId="2" applyNumberFormat="1" applyFont="1" applyBorder="1"/>
    <xf numFmtId="44" fontId="55" fillId="0" borderId="7" xfId="2" applyNumberFormat="1" applyFont="1" applyBorder="1"/>
    <xf numFmtId="44" fontId="55" fillId="0" borderId="0" xfId="2" applyFont="1"/>
    <xf numFmtId="44" fontId="55" fillId="0" borderId="0" xfId="0" quotePrefix="1" applyNumberFormat="1" applyFont="1" applyAlignment="1">
      <alignment horizontal="center"/>
    </xf>
    <xf numFmtId="7" fontId="55" fillId="0" borderId="0" xfId="2" applyNumberFormat="1" applyFont="1" applyBorder="1"/>
    <xf numFmtId="7" fontId="55" fillId="0" borderId="7" xfId="2" applyNumberFormat="1" applyFont="1" applyBorder="1"/>
    <xf numFmtId="7" fontId="55" fillId="0" borderId="14" xfId="2" applyNumberFormat="1" applyFont="1" applyBorder="1"/>
    <xf numFmtId="7" fontId="55" fillId="0" borderId="15" xfId="2" applyNumberFormat="1" applyFont="1" applyBorder="1"/>
    <xf numFmtId="0" fontId="55" fillId="0" borderId="0" xfId="0" applyFont="1"/>
    <xf numFmtId="0" fontId="58" fillId="0" borderId="0" xfId="0" applyFont="1"/>
    <xf numFmtId="0" fontId="35" fillId="2" borderId="21" xfId="0" applyFont="1" applyFill="1" applyBorder="1"/>
    <xf numFmtId="0" fontId="38" fillId="2" borderId="22" xfId="0" applyFont="1" applyFill="1" applyBorder="1"/>
    <xf numFmtId="0" fontId="29" fillId="2" borderId="23" xfId="0" applyFont="1" applyFill="1" applyBorder="1"/>
    <xf numFmtId="0" fontId="29" fillId="0" borderId="0" xfId="0" applyFont="1" applyFill="1" applyBorder="1"/>
    <xf numFmtId="0" fontId="37" fillId="0" borderId="8" xfId="0" applyFont="1" applyBorder="1" applyAlignment="1">
      <alignment horizontal="left"/>
    </xf>
    <xf numFmtId="43" fontId="38" fillId="0" borderId="0" xfId="0" applyNumberFormat="1" applyFont="1" applyFill="1"/>
    <xf numFmtId="43" fontId="27" fillId="0" borderId="11" xfId="0" applyNumberFormat="1" applyFont="1" applyBorder="1"/>
    <xf numFmtId="16" fontId="0" fillId="0" borderId="0" xfId="0" quotePrefix="1" applyNumberFormat="1"/>
    <xf numFmtId="0" fontId="5" fillId="0" borderId="0" xfId="0" applyFont="1"/>
    <xf numFmtId="14" fontId="6" fillId="0" borderId="5" xfId="0" applyNumberFormat="1" applyFont="1" applyFill="1" applyBorder="1" applyAlignment="1">
      <alignment horizontal="center"/>
    </xf>
    <xf numFmtId="44" fontId="5" fillId="0" borderId="7" xfId="2" applyFont="1" applyFill="1" applyBorder="1"/>
    <xf numFmtId="44" fontId="55" fillId="0" borderId="12" xfId="2" applyFont="1" applyFill="1" applyBorder="1"/>
    <xf numFmtId="164" fontId="55" fillId="0" borderId="10" xfId="2" applyNumberFormat="1" applyFont="1" applyFill="1" applyBorder="1"/>
    <xf numFmtId="44" fontId="55" fillId="0" borderId="0" xfId="2" quotePrefix="1" applyFont="1" applyBorder="1" applyAlignment="1">
      <alignment horizontal="center"/>
    </xf>
    <xf numFmtId="0" fontId="60" fillId="0" borderId="3" xfId="0" applyFont="1" applyFill="1" applyBorder="1" applyAlignment="1">
      <alignment horizontal="left" wrapText="1"/>
    </xf>
    <xf numFmtId="0" fontId="31" fillId="0" borderId="4" xfId="0" applyFont="1" applyFill="1" applyBorder="1" applyAlignment="1">
      <alignment horizontal="center"/>
    </xf>
    <xf numFmtId="0" fontId="29" fillId="0" borderId="4" xfId="0" applyFont="1" applyFill="1" applyBorder="1"/>
    <xf numFmtId="43" fontId="29" fillId="0" borderId="4" xfId="0" applyNumberFormat="1" applyFont="1" applyFill="1" applyBorder="1"/>
    <xf numFmtId="43" fontId="38" fillId="0" borderId="4" xfId="0" applyNumberFormat="1" applyFont="1" applyFill="1" applyBorder="1"/>
    <xf numFmtId="0" fontId="29" fillId="0" borderId="5" xfId="0" applyFont="1" applyFill="1" applyBorder="1"/>
    <xf numFmtId="0" fontId="34" fillId="0" borderId="6" xfId="0" applyFont="1" applyFill="1" applyBorder="1"/>
    <xf numFmtId="0" fontId="47" fillId="0" borderId="0" xfId="0" applyFont="1" applyFill="1" applyBorder="1" applyAlignment="1">
      <alignment horizontal="center"/>
    </xf>
    <xf numFmtId="0" fontId="29" fillId="0" borderId="7" xfId="0" applyFont="1" applyFill="1" applyBorder="1"/>
    <xf numFmtId="0" fontId="31" fillId="0" borderId="6" xfId="0" applyFont="1" applyFill="1" applyBorder="1"/>
    <xf numFmtId="0" fontId="31" fillId="0" borderId="6" xfId="0" applyFont="1" applyFill="1" applyBorder="1" applyAlignment="1">
      <alignment horizontal="left"/>
    </xf>
    <xf numFmtId="0" fontId="31" fillId="0" borderId="0" xfId="0" applyFont="1" applyFill="1" applyBorder="1"/>
    <xf numFmtId="14" fontId="29" fillId="0" borderId="6" xfId="0" applyNumberFormat="1" applyFont="1" applyFill="1" applyBorder="1"/>
    <xf numFmtId="165" fontId="38" fillId="0" borderId="0" xfId="1" applyNumberFormat="1" applyFont="1" applyFill="1" applyBorder="1"/>
    <xf numFmtId="43" fontId="38" fillId="0" borderId="0" xfId="1" applyNumberFormat="1" applyFont="1" applyFill="1" applyBorder="1"/>
    <xf numFmtId="165" fontId="29" fillId="0" borderId="0" xfId="1" applyNumberFormat="1" applyFont="1" applyFill="1" applyBorder="1"/>
    <xf numFmtId="43" fontId="38" fillId="0" borderId="0" xfId="0" applyNumberFormat="1" applyFont="1" applyFill="1" applyBorder="1"/>
    <xf numFmtId="0" fontId="29" fillId="0" borderId="6" xfId="0" applyFont="1" applyFill="1" applyBorder="1"/>
    <xf numFmtId="0" fontId="38" fillId="0" borderId="0" xfId="0" applyFont="1" applyFill="1" applyBorder="1"/>
    <xf numFmtId="0" fontId="31" fillId="0" borderId="6" xfId="0" applyFont="1" applyFill="1" applyBorder="1" applyAlignment="1">
      <alignment horizontal="left" wrapText="1"/>
    </xf>
    <xf numFmtId="43" fontId="29" fillId="0" borderId="0" xfId="0" applyNumberFormat="1" applyFont="1" applyFill="1" applyBorder="1"/>
    <xf numFmtId="0" fontId="29" fillId="0" borderId="6" xfId="0" applyFont="1" applyFill="1" applyBorder="1" applyAlignment="1">
      <alignment horizontal="left" wrapText="1"/>
    </xf>
    <xf numFmtId="14" fontId="29" fillId="0" borderId="8" xfId="0" applyNumberFormat="1" applyFont="1" applyFill="1" applyBorder="1"/>
    <xf numFmtId="0" fontId="29" fillId="0" borderId="9" xfId="0" applyFont="1" applyFill="1" applyBorder="1"/>
    <xf numFmtId="43" fontId="29" fillId="0" borderId="9" xfId="0" applyNumberFormat="1" applyFont="1" applyFill="1" applyBorder="1"/>
    <xf numFmtId="43" fontId="38" fillId="0" borderId="9" xfId="0" applyNumberFormat="1" applyFont="1" applyFill="1" applyBorder="1"/>
    <xf numFmtId="0" fontId="29" fillId="0" borderId="10" xfId="0" applyFont="1" applyFill="1" applyBorder="1"/>
    <xf numFmtId="43" fontId="29" fillId="0" borderId="0" xfId="1" applyNumberFormat="1" applyFont="1" applyFill="1" applyBorder="1"/>
    <xf numFmtId="44" fontId="35" fillId="0" borderId="0" xfId="2" applyFont="1" applyFill="1" applyBorder="1"/>
    <xf numFmtId="43" fontId="29" fillId="0" borderId="9" xfId="1" applyNumberFormat="1" applyFont="1" applyFill="1" applyBorder="1"/>
    <xf numFmtId="0" fontId="60" fillId="0" borderId="3" xfId="0" applyFont="1" applyFill="1" applyBorder="1"/>
    <xf numFmtId="44" fontId="55" fillId="0" borderId="0" xfId="2" applyFont="1" applyFill="1" applyAlignment="1">
      <alignment horizontal="center"/>
    </xf>
    <xf numFmtId="44" fontId="55" fillId="0" borderId="0" xfId="2" applyFont="1" applyFill="1"/>
    <xf numFmtId="0" fontId="55" fillId="0" borderId="0" xfId="0" applyFont="1" applyFill="1"/>
    <xf numFmtId="0" fontId="5" fillId="0" borderId="0" xfId="0" applyFont="1" applyFill="1"/>
    <xf numFmtId="0" fontId="56" fillId="0" borderId="0" xfId="0" applyFont="1" applyFill="1" applyAlignment="1">
      <alignment horizontal="center"/>
    </xf>
    <xf numFmtId="44" fontId="5" fillId="0" borderId="0" xfId="2" applyFont="1" applyFill="1"/>
    <xf numFmtId="0" fontId="0" fillId="0" borderId="0" xfId="0" applyAlignment="1">
      <alignment horizontal="left"/>
    </xf>
    <xf numFmtId="0" fontId="5" fillId="0" borderId="6" xfId="0" applyFont="1" applyBorder="1" applyAlignment="1">
      <alignment horizontal="left"/>
    </xf>
    <xf numFmtId="0" fontId="5" fillId="0" borderId="0" xfId="0" applyFont="1"/>
    <xf numFmtId="0" fontId="0" fillId="0" borderId="0" xfId="0"/>
    <xf numFmtId="7" fontId="35" fillId="0" borderId="0" xfId="2" applyNumberFormat="1" applyFont="1" applyFill="1" applyBorder="1"/>
    <xf numFmtId="0" fontId="35" fillId="2" borderId="3" xfId="0" applyFont="1" applyFill="1" applyBorder="1" applyAlignment="1"/>
    <xf numFmtId="0" fontId="35" fillId="2" borderId="5" xfId="0" applyFont="1" applyFill="1" applyBorder="1" applyAlignment="1"/>
    <xf numFmtId="0" fontId="38" fillId="2" borderId="6" xfId="0" applyFont="1" applyFill="1" applyBorder="1" applyAlignment="1"/>
    <xf numFmtId="0" fontId="38" fillId="2" borderId="7" xfId="0" applyFont="1" applyFill="1" applyBorder="1" applyAlignment="1"/>
    <xf numFmtId="0" fontId="29" fillId="2" borderId="8" xfId="0" applyFont="1" applyFill="1" applyBorder="1" applyAlignment="1"/>
    <xf numFmtId="0" fontId="29" fillId="2" borderId="10" xfId="0" applyFont="1" applyFill="1" applyBorder="1" applyAlignment="1"/>
    <xf numFmtId="0" fontId="35" fillId="0" borderId="0" xfId="0" applyFont="1" applyFill="1" applyBorder="1" applyAlignment="1"/>
    <xf numFmtId="0" fontId="38" fillId="0" borderId="0" xfId="0" applyFont="1" applyFill="1" applyBorder="1" applyAlignment="1"/>
    <xf numFmtId="0" fontId="29" fillId="0" borderId="0" xfId="0" applyFont="1" applyFill="1" applyBorder="1" applyAlignment="1"/>
    <xf numFmtId="164" fontId="56" fillId="0" borderId="0" xfId="0" applyNumberFormat="1" applyFont="1" applyBorder="1" applyAlignment="1">
      <alignment horizontal="center"/>
    </xf>
    <xf numFmtId="164" fontId="56" fillId="0" borderId="0" xfId="0" quotePrefix="1" applyNumberFormat="1" applyFont="1" applyBorder="1" applyAlignment="1">
      <alignment horizontal="center"/>
    </xf>
    <xf numFmtId="164" fontId="55" fillId="0" borderId="0" xfId="0" quotePrefix="1" applyNumberFormat="1" applyFont="1" applyBorder="1" applyAlignment="1">
      <alignment horizontal="center"/>
    </xf>
    <xf numFmtId="164" fontId="55" fillId="0" borderId="0" xfId="0" applyNumberFormat="1" applyFont="1" applyBorder="1" applyAlignment="1">
      <alignment horizontal="center"/>
    </xf>
    <xf numFmtId="0" fontId="4" fillId="0" borderId="0" xfId="0" applyFont="1" applyAlignment="1"/>
    <xf numFmtId="0" fontId="4" fillId="0" borderId="0" xfId="0" applyFont="1" applyFill="1"/>
    <xf numFmtId="0" fontId="6" fillId="0" borderId="0" xfId="0" applyFont="1" applyFill="1" applyAlignment="1">
      <alignment horizontal="center"/>
    </xf>
    <xf numFmtId="0" fontId="37" fillId="0" borderId="0" xfId="0" applyFont="1" applyAlignment="1">
      <alignment wrapText="1"/>
    </xf>
    <xf numFmtId="0" fontId="0" fillId="0" borderId="0" xfId="0"/>
    <xf numFmtId="0" fontId="5" fillId="0" borderId="0" xfId="0" applyFont="1"/>
    <xf numFmtId="0" fontId="0" fillId="0" borderId="0" xfId="0"/>
    <xf numFmtId="0" fontId="0" fillId="0" borderId="0" xfId="0" applyFont="1" applyAlignment="1">
      <alignment horizontal="right"/>
    </xf>
    <xf numFmtId="10" fontId="0" fillId="0" borderId="0" xfId="0" quotePrefix="1" applyNumberFormat="1" applyAlignment="1">
      <alignment horizontal="left"/>
    </xf>
    <xf numFmtId="0" fontId="41" fillId="0" borderId="0" xfId="0" quotePrefix="1" applyFont="1"/>
    <xf numFmtId="0" fontId="5" fillId="0" borderId="0" xfId="0" applyFont="1" applyBorder="1"/>
    <xf numFmtId="0" fontId="5" fillId="0" borderId="0" xfId="0" applyFont="1"/>
    <xf numFmtId="0" fontId="0" fillId="0" borderId="0" xfId="0"/>
    <xf numFmtId="0" fontId="62" fillId="0" borderId="0" xfId="0" applyFont="1" applyAlignment="1">
      <alignment vertical="center"/>
    </xf>
    <xf numFmtId="0" fontId="29" fillId="0" borderId="0" xfId="0" applyFont="1" applyAlignment="1">
      <alignment vertical="center" wrapText="1"/>
    </xf>
    <xf numFmtId="0" fontId="63" fillId="0" borderId="0" xfId="0" applyFont="1" applyAlignment="1">
      <alignment vertical="center"/>
    </xf>
    <xf numFmtId="44" fontId="55" fillId="0" borderId="7" xfId="0" applyNumberFormat="1" applyFont="1" applyBorder="1" applyAlignment="1">
      <alignment horizontal="center"/>
    </xf>
    <xf numFmtId="14" fontId="6" fillId="0" borderId="4" xfId="0" applyNumberFormat="1" applyFont="1" applyBorder="1" applyAlignment="1">
      <alignment horizontal="center"/>
    </xf>
    <xf numFmtId="14" fontId="6" fillId="0" borderId="4" xfId="0" applyNumberFormat="1" applyFont="1" applyFill="1" applyBorder="1" applyAlignment="1">
      <alignment horizontal="center"/>
    </xf>
    <xf numFmtId="44" fontId="5" fillId="0" borderId="0" xfId="2" applyFont="1" applyFill="1" applyBorder="1"/>
    <xf numFmtId="0" fontId="5" fillId="0" borderId="0" xfId="0" applyFont="1"/>
    <xf numFmtId="0" fontId="0" fillId="0" borderId="0" xfId="0"/>
    <xf numFmtId="0" fontId="64" fillId="0" borderId="0" xfId="0" applyFont="1" applyAlignment="1">
      <alignment vertical="center" wrapText="1"/>
    </xf>
    <xf numFmtId="0" fontId="0" fillId="0" borderId="0" xfId="0" applyFont="1" applyAlignment="1">
      <alignment horizontal="right" vertical="top"/>
    </xf>
    <xf numFmtId="0" fontId="37" fillId="0" borderId="6" xfId="0" applyFont="1" applyBorder="1" applyAlignment="1">
      <alignment horizontal="left"/>
    </xf>
    <xf numFmtId="7" fontId="38" fillId="0" borderId="9" xfId="2" applyNumberFormat="1" applyFont="1" applyFill="1" applyBorder="1"/>
    <xf numFmtId="43" fontId="38" fillId="0" borderId="9" xfId="1" applyNumberFormat="1" applyFont="1" applyFill="1" applyBorder="1"/>
    <xf numFmtId="0" fontId="5" fillId="0" borderId="0" xfId="0" applyFont="1"/>
    <xf numFmtId="0" fontId="0" fillId="0" borderId="0" xfId="0" applyAlignment="1">
      <alignment horizontal="right"/>
    </xf>
    <xf numFmtId="0" fontId="0" fillId="0" borderId="0" xfId="0" applyAlignment="1">
      <alignment horizontal="left"/>
    </xf>
    <xf numFmtId="0" fontId="0" fillId="0" borderId="0" xfId="0"/>
    <xf numFmtId="0" fontId="5" fillId="0" borderId="0" xfId="0" applyFont="1" applyBorder="1"/>
    <xf numFmtId="0" fontId="5" fillId="0" borderId="0" xfId="0" applyFont="1"/>
    <xf numFmtId="0" fontId="5" fillId="0" borderId="9" xfId="0" applyFont="1" applyBorder="1"/>
    <xf numFmtId="0" fontId="0" fillId="0" borderId="0" xfId="0" applyAlignment="1">
      <alignment horizontal="left"/>
    </xf>
    <xf numFmtId="0" fontId="0" fillId="0" borderId="0" xfId="0"/>
    <xf numFmtId="0" fontId="4" fillId="0" borderId="0" xfId="0" applyFont="1" applyAlignment="1">
      <alignment horizontal="center"/>
    </xf>
    <xf numFmtId="0" fontId="34" fillId="0" borderId="0" xfId="0" applyFont="1" applyFill="1" applyBorder="1"/>
    <xf numFmtId="44" fontId="27" fillId="0" borderId="0" xfId="2" applyFont="1" applyFill="1"/>
    <xf numFmtId="166" fontId="0" fillId="0" borderId="0" xfId="0" applyNumberFormat="1" applyFont="1" applyBorder="1"/>
    <xf numFmtId="10" fontId="0" fillId="0" borderId="0" xfId="0" applyNumberFormat="1" applyBorder="1"/>
    <xf numFmtId="0" fontId="31" fillId="0" borderId="0" xfId="0" applyFont="1" applyFill="1" applyBorder="1" applyAlignment="1">
      <alignment horizontal="center"/>
    </xf>
    <xf numFmtId="0" fontId="5" fillId="0" borderId="0" xfId="0" applyFont="1"/>
    <xf numFmtId="0" fontId="0" fillId="0" borderId="0" xfId="0"/>
    <xf numFmtId="0" fontId="65" fillId="0" borderId="0" xfId="0" applyFont="1" applyAlignment="1">
      <alignment horizontal="center"/>
    </xf>
    <xf numFmtId="0" fontId="14" fillId="0" borderId="0" xfId="0" applyFont="1" applyAlignment="1">
      <alignment horizontal="center"/>
    </xf>
    <xf numFmtId="0" fontId="31" fillId="0" borderId="7" xfId="0" applyFont="1" applyFill="1" applyBorder="1"/>
    <xf numFmtId="43" fontId="38" fillId="0" borderId="10" xfId="1" applyNumberFormat="1" applyFont="1" applyFill="1" applyBorder="1"/>
    <xf numFmtId="43" fontId="38" fillId="0" borderId="7" xfId="1" applyNumberFormat="1" applyFont="1" applyFill="1" applyBorder="1"/>
    <xf numFmtId="43" fontId="38" fillId="0" borderId="7" xfId="0" applyNumberFormat="1" applyFont="1" applyFill="1" applyBorder="1"/>
    <xf numFmtId="0" fontId="37" fillId="0" borderId="0" xfId="0" applyFont="1" applyAlignment="1">
      <alignment horizontal="center"/>
    </xf>
    <xf numFmtId="0" fontId="36" fillId="0" borderId="0" xfId="0" applyFont="1" applyAlignment="1">
      <alignment horizontal="center" wrapText="1"/>
    </xf>
    <xf numFmtId="0" fontId="36" fillId="0" borderId="1" xfId="0" applyFont="1" applyBorder="1" applyAlignment="1">
      <alignment horizontal="center" wrapText="1"/>
    </xf>
    <xf numFmtId="44" fontId="38" fillId="0" borderId="0" xfId="2" applyNumberFormat="1" applyFont="1" applyBorder="1"/>
    <xf numFmtId="167" fontId="38" fillId="0" borderId="0" xfId="0" applyNumberFormat="1" applyFont="1" applyBorder="1"/>
    <xf numFmtId="168" fontId="27" fillId="0" borderId="0" xfId="3" applyNumberFormat="1" applyFont="1"/>
    <xf numFmtId="168" fontId="38" fillId="0" borderId="0" xfId="3" applyNumberFormat="1" applyFont="1" applyAlignment="1">
      <alignment horizontal="right"/>
    </xf>
    <xf numFmtId="0" fontId="5" fillId="0" borderId="0" xfId="0" applyFont="1" applyBorder="1"/>
    <xf numFmtId="0" fontId="5" fillId="0" borderId="9" xfId="0" applyFont="1" applyBorder="1"/>
    <xf numFmtId="0" fontId="5" fillId="0" borderId="6" xfId="0" applyFont="1" applyBorder="1" applyAlignment="1">
      <alignment horizontal="left"/>
    </xf>
    <xf numFmtId="0" fontId="5" fillId="0" borderId="0" xfId="0" applyFont="1" applyBorder="1" applyAlignment="1">
      <alignment horizontal="left"/>
    </xf>
    <xf numFmtId="0" fontId="5" fillId="0" borderId="0" xfId="0" applyFont="1"/>
    <xf numFmtId="14" fontId="29" fillId="0" borderId="0" xfId="0" applyNumberFormat="1" applyFont="1" applyFill="1" applyBorder="1"/>
    <xf numFmtId="43" fontId="66" fillId="0" borderId="0" xfId="1" applyNumberFormat="1" applyFont="1" applyFill="1" applyBorder="1"/>
    <xf numFmtId="0" fontId="66" fillId="0" borderId="0" xfId="0" applyFont="1" applyFill="1" applyBorder="1"/>
    <xf numFmtId="44" fontId="55" fillId="0" borderId="11" xfId="2" applyFont="1" applyFill="1" applyBorder="1"/>
    <xf numFmtId="44" fontId="38" fillId="0" borderId="0" xfId="2" applyFont="1"/>
    <xf numFmtId="169" fontId="7" fillId="0" borderId="0" xfId="0" applyNumberFormat="1" applyFont="1" applyAlignment="1">
      <alignment horizontal="center"/>
    </xf>
    <xf numFmtId="44" fontId="67" fillId="0" borderId="0" xfId="0" applyNumberFormat="1" applyFont="1" applyFill="1"/>
    <xf numFmtId="0" fontId="31" fillId="0" borderId="0" xfId="0" applyFont="1" applyFill="1" applyBorder="1" applyAlignment="1">
      <alignment horizontal="center"/>
    </xf>
    <xf numFmtId="0" fontId="31" fillId="0" borderId="7" xfId="0" applyFont="1" applyFill="1" applyBorder="1" applyAlignment="1">
      <alignment horizontal="center"/>
    </xf>
    <xf numFmtId="0" fontId="4" fillId="0" borderId="18" xfId="0" applyFont="1" applyFill="1" applyBorder="1"/>
    <xf numFmtId="0" fontId="4" fillId="0" borderId="19" xfId="0" applyFont="1" applyFill="1" applyBorder="1"/>
    <xf numFmtId="0" fontId="5" fillId="0" borderId="1" xfId="0" applyFont="1" applyBorder="1" applyAlignment="1">
      <alignment horizontal="center"/>
    </xf>
    <xf numFmtId="0" fontId="5" fillId="0" borderId="17" xfId="0" applyFont="1" applyBorder="1" applyAlignment="1">
      <alignment horizontal="center"/>
    </xf>
    <xf numFmtId="0" fontId="5" fillId="0" borderId="6" xfId="0" applyFont="1" applyBorder="1"/>
    <xf numFmtId="0" fontId="5" fillId="0" borderId="0" xfId="0" applyFont="1" applyBorder="1"/>
    <xf numFmtId="0" fontId="5" fillId="0" borderId="6" xfId="0" applyFont="1" applyBorder="1" applyAlignment="1">
      <alignment horizontal="right"/>
    </xf>
    <xf numFmtId="0" fontId="5" fillId="0" borderId="0" xfId="0" applyFont="1" applyBorder="1" applyAlignment="1">
      <alignment horizontal="right"/>
    </xf>
    <xf numFmtId="0" fontId="9" fillId="0" borderId="0" xfId="0" applyFont="1"/>
    <xf numFmtId="0" fontId="9" fillId="0" borderId="0" xfId="0" applyFont="1" applyBorder="1"/>
    <xf numFmtId="0" fontId="5" fillId="0" borderId="0" xfId="0" applyFont="1" applyAlignment="1">
      <alignment horizontal="right"/>
    </xf>
    <xf numFmtId="15" fontId="5" fillId="0" borderId="0" xfId="0" applyNumberFormat="1" applyFont="1" applyAlignment="1">
      <alignment horizontal="right"/>
    </xf>
    <xf numFmtId="0" fontId="12" fillId="0" borderId="0" xfId="0" applyFont="1"/>
    <xf numFmtId="0" fontId="5" fillId="0" borderId="0" xfId="0" applyFont="1" applyBorder="1" applyAlignment="1">
      <alignment horizontal="center"/>
    </xf>
    <xf numFmtId="0" fontId="5" fillId="0" borderId="7" xfId="0" applyFont="1" applyBorder="1" applyAlignment="1">
      <alignment horizontal="center"/>
    </xf>
    <xf numFmtId="0" fontId="35" fillId="2" borderId="3" xfId="0" applyFont="1" applyFill="1" applyBorder="1" applyAlignment="1">
      <alignment horizontal="center"/>
    </xf>
    <xf numFmtId="0" fontId="35" fillId="2" borderId="4" xfId="0" applyFont="1" applyFill="1" applyBorder="1" applyAlignment="1">
      <alignment horizontal="center"/>
    </xf>
    <xf numFmtId="0" fontId="35" fillId="2" borderId="5" xfId="0" applyFont="1" applyFill="1" applyBorder="1" applyAlignment="1">
      <alignment horizontal="center"/>
    </xf>
    <xf numFmtId="0" fontId="38" fillId="2" borderId="8" xfId="0" applyFont="1" applyFill="1" applyBorder="1" applyAlignment="1">
      <alignment horizontal="center"/>
    </xf>
    <xf numFmtId="0" fontId="38" fillId="2" borderId="9" xfId="0" applyFont="1" applyFill="1" applyBorder="1" applyAlignment="1">
      <alignment horizontal="center"/>
    </xf>
    <xf numFmtId="0" fontId="38" fillId="2" borderId="10" xfId="0" applyFont="1" applyFill="1" applyBorder="1" applyAlignment="1">
      <alignment horizontal="center"/>
    </xf>
    <xf numFmtId="0" fontId="5" fillId="0" borderId="8" xfId="0" applyFont="1" applyBorder="1"/>
    <xf numFmtId="0" fontId="5" fillId="0" borderId="9" xfId="0" applyFont="1" applyBorder="1"/>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left"/>
    </xf>
    <xf numFmtId="0" fontId="5" fillId="0" borderId="0" xfId="0" applyFont="1" applyBorder="1" applyAlignment="1">
      <alignment horizontal="left"/>
    </xf>
    <xf numFmtId="0" fontId="5" fillId="0" borderId="6" xfId="0" applyFont="1" applyBorder="1" applyAlignment="1"/>
    <xf numFmtId="0" fontId="5" fillId="0" borderId="0" xfId="0" applyFont="1" applyBorder="1" applyAlignment="1"/>
    <xf numFmtId="0" fontId="5" fillId="0" borderId="3" xfId="0" applyFont="1" applyBorder="1" applyAlignment="1">
      <alignment horizontal="left"/>
    </xf>
    <xf numFmtId="0" fontId="5" fillId="0" borderId="4" xfId="0" applyFont="1" applyBorder="1" applyAlignment="1">
      <alignment horizontal="left"/>
    </xf>
    <xf numFmtId="0" fontId="4" fillId="0" borderId="18" xfId="0" applyFont="1" applyBorder="1"/>
    <xf numFmtId="0" fontId="4" fillId="0" borderId="19" xfId="0" applyFont="1" applyBorder="1"/>
    <xf numFmtId="0" fontId="36" fillId="0" borderId="9" xfId="0" applyFont="1" applyBorder="1" applyAlignment="1">
      <alignment horizontal="right"/>
    </xf>
    <xf numFmtId="0" fontId="5" fillId="0" borderId="0" xfId="0" applyFont="1"/>
    <xf numFmtId="0" fontId="0" fillId="2" borderId="0" xfId="0" applyFill="1" applyAlignment="1">
      <alignment horizontal="left"/>
    </xf>
    <xf numFmtId="0" fontId="49" fillId="0" borderId="0" xfId="0" applyFont="1" applyAlignment="1">
      <alignment horizontal="center"/>
    </xf>
    <xf numFmtId="0" fontId="49" fillId="0" borderId="0" xfId="0" quotePrefix="1" applyFont="1" applyAlignment="1">
      <alignment horizontal="center"/>
    </xf>
    <xf numFmtId="0" fontId="31" fillId="0" borderId="0" xfId="0" applyFont="1" applyAlignment="1">
      <alignment horizontal="center"/>
    </xf>
    <xf numFmtId="0" fontId="31" fillId="0" borderId="0" xfId="0" applyFont="1" applyBorder="1" applyAlignment="1">
      <alignment horizontal="center"/>
    </xf>
    <xf numFmtId="0" fontId="0" fillId="0" borderId="0" xfId="0" applyAlignment="1">
      <alignment horizontal="right"/>
    </xf>
    <xf numFmtId="0" fontId="0" fillId="0" borderId="0" xfId="0" applyAlignment="1">
      <alignment horizontal="left"/>
    </xf>
    <xf numFmtId="0" fontId="0" fillId="0" borderId="0" xfId="0" applyFont="1" applyAlignment="1">
      <alignment horizontal="left" vertical="center"/>
    </xf>
    <xf numFmtId="0" fontId="0" fillId="0" borderId="0" xfId="0"/>
    <xf numFmtId="0" fontId="0" fillId="0" borderId="0" xfId="0" quotePrefix="1" applyAlignment="1">
      <alignment horizontal="left" wrapText="1"/>
    </xf>
    <xf numFmtId="0" fontId="14" fillId="0" borderId="0" xfId="0" applyFont="1" applyAlignment="1">
      <alignment horizontal="left" wrapText="1"/>
    </xf>
    <xf numFmtId="0" fontId="4" fillId="0" borderId="0" xfId="0" applyFont="1" applyAlignment="1">
      <alignment horizontal="center"/>
    </xf>
    <xf numFmtId="0" fontId="37" fillId="0" borderId="0" xfId="0" applyFont="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4"/>
  <sheetViews>
    <sheetView zoomScaleNormal="100" zoomScaleSheetLayoutView="100" workbookViewId="0">
      <pane xSplit="1" topLeftCell="B1" activePane="topRight" state="frozen"/>
      <selection pane="topRight" activeCell="B12" sqref="B12"/>
    </sheetView>
  </sheetViews>
  <sheetFormatPr defaultColWidth="9.109375" defaultRowHeight="13.8" x14ac:dyDescent="0.25"/>
  <cols>
    <col min="1" max="1" width="40.109375" style="96" customWidth="1"/>
    <col min="2" max="2" width="24.88671875" style="96" customWidth="1"/>
    <col min="3" max="3" width="9.88671875" style="96" customWidth="1"/>
    <col min="4" max="4" width="10.33203125" style="96" customWidth="1"/>
    <col min="5" max="5" width="11" style="96" customWidth="1"/>
    <col min="6" max="6" width="11.109375" style="96" bestFit="1" customWidth="1"/>
    <col min="7" max="8" width="11.5546875" style="96" bestFit="1" customWidth="1"/>
    <col min="9" max="10" width="12.33203125" style="96" bestFit="1" customWidth="1"/>
    <col min="11" max="12" width="11.109375" style="96" bestFit="1" customWidth="1"/>
    <col min="13" max="14" width="11.88671875" style="96" bestFit="1" customWidth="1"/>
    <col min="15" max="17" width="10.77734375" style="96" bestFit="1" customWidth="1"/>
    <col min="18" max="18" width="9.109375" style="96" bestFit="1" customWidth="1"/>
    <col min="19" max="16384" width="9.109375" style="96"/>
  </cols>
  <sheetData>
    <row r="1" spans="1:18" x14ac:dyDescent="0.25">
      <c r="A1" s="234" t="s">
        <v>772</v>
      </c>
    </row>
    <row r="2" spans="1:18" x14ac:dyDescent="0.25">
      <c r="A2" s="235" t="s">
        <v>773</v>
      </c>
    </row>
    <row r="3" spans="1:18" ht="14.4" thickBot="1" x14ac:dyDescent="0.3">
      <c r="A3" s="236"/>
    </row>
    <row r="4" spans="1:18" ht="10.5" customHeight="1" x14ac:dyDescent="0.25"/>
    <row r="5" spans="1:18" s="95" customFormat="1" ht="21.6" thickBot="1" x14ac:dyDescent="0.45">
      <c r="A5" s="259" t="s">
        <v>771</v>
      </c>
      <c r="B5" s="340"/>
      <c r="C5" s="340"/>
      <c r="D5" s="340"/>
      <c r="E5" s="340"/>
      <c r="F5" s="340"/>
      <c r="G5" s="340"/>
      <c r="H5" s="340"/>
      <c r="I5" s="340"/>
      <c r="J5" s="340"/>
      <c r="K5" s="340"/>
      <c r="L5" s="340"/>
      <c r="M5" s="340"/>
      <c r="N5" s="340"/>
      <c r="O5" s="340"/>
      <c r="P5" s="340"/>
    </row>
    <row r="6" spans="1:18" x14ac:dyDescent="0.25">
      <c r="A6" s="278" t="s">
        <v>786</v>
      </c>
      <c r="B6" s="250"/>
      <c r="C6" s="250"/>
      <c r="D6" s="250"/>
      <c r="E6" s="250"/>
      <c r="F6" s="250"/>
      <c r="G6" s="250"/>
      <c r="H6" s="250"/>
      <c r="I6" s="250"/>
      <c r="J6" s="250"/>
      <c r="K6" s="250"/>
      <c r="L6" s="250"/>
      <c r="M6" s="250"/>
      <c r="N6" s="250"/>
      <c r="O6" s="250"/>
      <c r="P6" s="250"/>
      <c r="Q6" s="250"/>
      <c r="R6" s="253"/>
    </row>
    <row r="7" spans="1:18" x14ac:dyDescent="0.25">
      <c r="A7" s="257"/>
      <c r="B7" s="255" t="s">
        <v>200</v>
      </c>
      <c r="C7" s="237"/>
      <c r="D7" s="237"/>
      <c r="E7" s="237"/>
      <c r="F7" s="237"/>
      <c r="G7" s="237"/>
      <c r="H7" s="237"/>
      <c r="I7" s="237"/>
      <c r="J7" s="237"/>
      <c r="K7" s="237"/>
      <c r="L7" s="237"/>
      <c r="M7" s="237"/>
      <c r="N7" s="237"/>
      <c r="O7" s="237"/>
      <c r="P7" s="237"/>
      <c r="Q7" s="237"/>
      <c r="R7" s="256"/>
    </row>
    <row r="8" spans="1:18" ht="21" x14ac:dyDescent="0.4">
      <c r="A8" s="254"/>
      <c r="B8" s="255" t="s">
        <v>782</v>
      </c>
      <c r="C8" s="237"/>
      <c r="D8" s="372" t="s">
        <v>121</v>
      </c>
      <c r="E8" s="372"/>
      <c r="F8" s="372"/>
      <c r="G8" s="372"/>
      <c r="H8" s="372"/>
      <c r="I8" s="372"/>
      <c r="J8" s="372"/>
      <c r="K8" s="372"/>
      <c r="L8" s="372"/>
      <c r="M8" s="372"/>
      <c r="N8" s="372"/>
      <c r="O8" s="372"/>
      <c r="P8" s="372"/>
      <c r="Q8" s="372"/>
      <c r="R8" s="373"/>
    </row>
    <row r="9" spans="1:18" x14ac:dyDescent="0.25">
      <c r="A9" s="257" t="s">
        <v>201</v>
      </c>
      <c r="B9" s="344" t="s">
        <v>118</v>
      </c>
      <c r="C9" s="344" t="s">
        <v>153</v>
      </c>
      <c r="D9" s="344"/>
      <c r="E9" s="344"/>
      <c r="F9" s="344"/>
      <c r="G9" s="344"/>
      <c r="H9" s="344"/>
      <c r="I9" s="344"/>
      <c r="J9" s="344"/>
      <c r="K9" s="237"/>
      <c r="L9" s="237"/>
      <c r="M9" s="237"/>
      <c r="N9" s="237"/>
      <c r="O9" s="237"/>
      <c r="P9" s="237"/>
      <c r="Q9" s="237"/>
      <c r="R9" s="256"/>
    </row>
    <row r="10" spans="1:18" x14ac:dyDescent="0.25">
      <c r="A10" s="258" t="s">
        <v>202</v>
      </c>
      <c r="B10" s="344" t="s">
        <v>783</v>
      </c>
      <c r="C10" s="344" t="s">
        <v>154</v>
      </c>
      <c r="D10" s="259">
        <v>2015</v>
      </c>
      <c r="E10" s="259">
        <v>2016</v>
      </c>
      <c r="F10" s="259">
        <v>2017</v>
      </c>
      <c r="G10" s="259">
        <v>2018</v>
      </c>
      <c r="H10" s="259">
        <v>2019</v>
      </c>
      <c r="I10" s="259">
        <v>2020</v>
      </c>
      <c r="J10" s="259">
        <v>2021</v>
      </c>
      <c r="K10" s="259">
        <v>2022</v>
      </c>
      <c r="L10" s="259">
        <v>2023</v>
      </c>
      <c r="M10" s="259">
        <v>2024</v>
      </c>
      <c r="N10" s="259">
        <v>2025</v>
      </c>
      <c r="O10" s="259">
        <v>2026</v>
      </c>
      <c r="P10" s="259">
        <v>2027</v>
      </c>
      <c r="Q10" s="259">
        <v>2028</v>
      </c>
      <c r="R10" s="349">
        <v>2029</v>
      </c>
    </row>
    <row r="11" spans="1:18" x14ac:dyDescent="0.25">
      <c r="A11" s="260">
        <v>42185</v>
      </c>
      <c r="B11" s="276">
        <v>1062.45</v>
      </c>
      <c r="C11" s="275">
        <v>4.4400000000000004</v>
      </c>
      <c r="D11" s="366">
        <f>IF($C11&gt;0,ROUND($B11/$C11,0),0)</f>
        <v>239</v>
      </c>
      <c r="E11" s="366">
        <f>IF($C$11&gt;2,ROUND($B$11/$C$11,0),$B$11-SUM(D11:D11))</f>
        <v>239</v>
      </c>
      <c r="F11" s="366">
        <f>IF($C11&gt;3,ROUND($B11/$C11,0),$B11-SUM(D11:E11))</f>
        <v>239</v>
      </c>
      <c r="G11" s="366">
        <f>IF($C11&gt;4,ROUND($B11/$C11,0),$B11-SUM(D11:F11))</f>
        <v>239</v>
      </c>
      <c r="H11" s="366">
        <f>IF($C11&gt;5,ROUND($B11/$C11,0),$B11-SUM(D11:G11))</f>
        <v>106.45000000000005</v>
      </c>
      <c r="I11" s="366">
        <f>IF($C11&gt;6,ROUND($B11/$C11,0),$B11-SUM(D11:H11))</f>
        <v>0</v>
      </c>
      <c r="J11" s="367"/>
      <c r="K11" s="237"/>
      <c r="L11" s="237"/>
      <c r="M11" s="237"/>
      <c r="N11" s="237"/>
      <c r="O11" s="237"/>
      <c r="P11" s="237"/>
      <c r="Q11" s="237"/>
      <c r="R11" s="256"/>
    </row>
    <row r="12" spans="1:18" x14ac:dyDescent="0.25">
      <c r="A12" s="260">
        <v>42551</v>
      </c>
      <c r="B12" s="276">
        <v>-1014.46</v>
      </c>
      <c r="C12" s="275">
        <v>4.38</v>
      </c>
      <c r="D12" s="367"/>
      <c r="E12" s="366">
        <f>IF($C12&gt;2,ROUND($B12/$C12,2),$B12-SUM(C12:D12))</f>
        <v>-231.61</v>
      </c>
      <c r="F12" s="366">
        <f>IF($C12&gt;2,ROUND($B12/$C12,2),$B12-SUM(D12:E12))</f>
        <v>-231.61</v>
      </c>
      <c r="G12" s="366">
        <f>IF($C12&gt;3,ROUND($B12/$C12,2),$B12-SUM(D12:F12))</f>
        <v>-231.61</v>
      </c>
      <c r="H12" s="366">
        <f>IF($C12&gt;4,ROUND($B12/$C12,2),$B12-SUM(D12:G12))</f>
        <v>-231.61</v>
      </c>
      <c r="I12" s="366">
        <f>IF($C12&gt;5,ROUND($B12/$C12,2),$B12-SUM(E12:H12))</f>
        <v>-88.019999999999982</v>
      </c>
      <c r="J12" s="366">
        <f>IF($C12&gt;6,ROUND($B12/$C12,0),$B12-SUM(E12:I12))</f>
        <v>0</v>
      </c>
      <c r="K12" s="237"/>
      <c r="L12" s="237"/>
      <c r="M12" s="237"/>
      <c r="N12" s="237"/>
      <c r="O12" s="237"/>
      <c r="P12" s="237"/>
      <c r="Q12" s="237"/>
      <c r="R12" s="256"/>
    </row>
    <row r="13" spans="1:18" x14ac:dyDescent="0.25">
      <c r="A13" s="260">
        <v>42916</v>
      </c>
      <c r="B13" s="289">
        <v>12053.06</v>
      </c>
      <c r="C13" s="275">
        <v>4.46</v>
      </c>
      <c r="D13" s="237"/>
      <c r="E13" s="262"/>
      <c r="F13" s="262">
        <f>IF($C13&gt;2,ROUND($B13/$C13,2),$B13-SUM(D13:E13))</f>
        <v>2702.48</v>
      </c>
      <c r="G13" s="262">
        <f>IF($C13&gt;2,ROUND($B13/$C13,2),$B13-SUM(D13:F13))</f>
        <v>2702.48</v>
      </c>
      <c r="H13" s="262">
        <f>IF($C13&gt;3,ROUND($B13/$C13,2),$B13-SUM(D13:G13))</f>
        <v>2702.48</v>
      </c>
      <c r="I13" s="262">
        <f>IF($C13&gt;4,ROUND($B13/$C13,2),$B13-SUM(E13:H13))</f>
        <v>2702.48</v>
      </c>
      <c r="J13" s="262">
        <f>IF($C13&gt;5,ROUND($B13/$C13,2),$B13-SUM(F13:I13))</f>
        <v>1243.1399999999994</v>
      </c>
      <c r="K13" s="237"/>
      <c r="L13" s="237"/>
      <c r="M13" s="237"/>
      <c r="N13" s="237"/>
      <c r="O13" s="237"/>
      <c r="P13" s="237"/>
      <c r="Q13" s="237"/>
      <c r="R13" s="256"/>
    </row>
    <row r="14" spans="1:18" x14ac:dyDescent="0.25">
      <c r="A14" s="260">
        <v>43281</v>
      </c>
      <c r="B14" s="289">
        <v>-5403.11</v>
      </c>
      <c r="C14" s="275">
        <v>4.3099999999999996</v>
      </c>
      <c r="D14" s="237"/>
      <c r="E14" s="264"/>
      <c r="F14" s="264"/>
      <c r="G14" s="262">
        <f>IF($C14&gt;2,ROUND($B14/$C14,2),$B14-SUM(E14:F14))</f>
        <v>-1253.6199999999999</v>
      </c>
      <c r="H14" s="262">
        <f>IF($C14&gt;2,ROUND($B14/$C14,2),$B14-SUM(E14:G14))</f>
        <v>-1253.6199999999999</v>
      </c>
      <c r="I14" s="262">
        <f>IF($C14&gt;3,ROUND($B14/$C14,2),$B14-SUM(E14:H14))</f>
        <v>-1253.6199999999999</v>
      </c>
      <c r="J14" s="262">
        <f>IF($C14&gt;4,ROUND($B14/$C14,2),$B14-SUM(F14:I14))</f>
        <v>-1253.6199999999999</v>
      </c>
      <c r="K14" s="262">
        <f>IF($C14&gt;5,ROUND($B14/$C14,2),$B14-SUM(G14:J14))</f>
        <v>-388.63000000000011</v>
      </c>
      <c r="L14" s="262"/>
      <c r="M14" s="262"/>
      <c r="N14" s="262"/>
      <c r="O14" s="237"/>
      <c r="P14" s="237"/>
      <c r="Q14" s="237"/>
      <c r="R14" s="256"/>
    </row>
    <row r="15" spans="1:18" x14ac:dyDescent="0.25">
      <c r="A15" s="260">
        <v>43646</v>
      </c>
      <c r="B15" s="289">
        <v>12231.98</v>
      </c>
      <c r="C15" s="275">
        <v>4.4400000000000004</v>
      </c>
      <c r="D15" s="237"/>
      <c r="E15" s="264"/>
      <c r="F15" s="264"/>
      <c r="G15" s="264"/>
      <c r="H15" s="262">
        <f>IF($C15&gt;2,ROUND($B15/$C15,2),$B15-SUM(F15:G15))</f>
        <v>2754.95</v>
      </c>
      <c r="I15" s="262">
        <f>IF($C15&gt;2,ROUND($B15/$C15,2),$B15-SUM(F15:H15))</f>
        <v>2754.95</v>
      </c>
      <c r="J15" s="262">
        <f>IF($C15&gt;3,ROUND($B15/$C15,2),$B15-SUM(F15:I15))</f>
        <v>2754.95</v>
      </c>
      <c r="K15" s="262">
        <f>IF($C15&gt;4,ROUND($B15/$C15,2),$B15-SUM(G15:J15))</f>
        <v>2754.95</v>
      </c>
      <c r="L15" s="262">
        <f>IF($C15&gt;5,ROUND($B15/$C15,2),$B15-SUM(H15:K15))</f>
        <v>1212.1800000000003</v>
      </c>
      <c r="M15" s="262"/>
      <c r="N15" s="262"/>
      <c r="O15" s="237"/>
      <c r="P15" s="237"/>
      <c r="Q15" s="237"/>
      <c r="R15" s="256"/>
    </row>
    <row r="16" spans="1:18" x14ac:dyDescent="0.25">
      <c r="A16" s="260">
        <v>44012</v>
      </c>
      <c r="B16" s="289">
        <v>-4887.07</v>
      </c>
      <c r="C16" s="275">
        <v>4.34</v>
      </c>
      <c r="D16" s="237"/>
      <c r="E16" s="264"/>
      <c r="F16" s="264"/>
      <c r="G16" s="264"/>
      <c r="H16" s="264"/>
      <c r="I16" s="262">
        <f>IF($C16&gt;2,ROUND($B16/$C16,2),$B16-SUM(G16:H16))</f>
        <v>-1126.05</v>
      </c>
      <c r="J16" s="262">
        <f>IF($C16&gt;2,ROUND($B16/$C16,2),$B16-SUM(G16:I16))</f>
        <v>-1126.05</v>
      </c>
      <c r="K16" s="262">
        <f>IF($C16&gt;3,ROUND($B16/$C16,2),$B16-SUM(G16:J16))</f>
        <v>-1126.05</v>
      </c>
      <c r="L16" s="262">
        <f>IF($C16&gt;4,ROUND($B16/$C16,2),$B16-SUM(H16:K16))</f>
        <v>-1126.05</v>
      </c>
      <c r="M16" s="262">
        <f>IF($C16&gt;5,ROUND($B16/$C16,2),$B16-SUM(I16:L16))</f>
        <v>-382.86999999999989</v>
      </c>
      <c r="N16" s="262"/>
      <c r="O16" s="237"/>
      <c r="P16" s="237"/>
      <c r="Q16" s="237"/>
      <c r="R16" s="256"/>
    </row>
    <row r="17" spans="1:19" x14ac:dyDescent="0.25">
      <c r="A17" s="260">
        <v>44377</v>
      </c>
      <c r="B17" s="289">
        <v>62.75</v>
      </c>
      <c r="C17" s="275">
        <v>4.25</v>
      </c>
      <c r="D17" s="237"/>
      <c r="E17" s="264"/>
      <c r="F17" s="264"/>
      <c r="G17" s="264"/>
      <c r="H17" s="264"/>
      <c r="I17" s="264"/>
      <c r="J17" s="262">
        <f>IF($C17&gt;2,ROUND($B17/$C17,2),$B17-SUM(G17:I17))</f>
        <v>14.76</v>
      </c>
      <c r="K17" s="262">
        <f>IF($C17&gt;2,ROUND($B17/$C17,2),$B17-SUM(G17:J17))</f>
        <v>14.76</v>
      </c>
      <c r="L17" s="262">
        <f>IF($C17&gt;3,ROUND($B17/$C17,2),$B17-SUM(G17:K17))</f>
        <v>14.76</v>
      </c>
      <c r="M17" s="262">
        <f>IF($C17&gt;4,ROUND($B17/$C17,2),$B17-SUM(G17:L17))</f>
        <v>14.76</v>
      </c>
      <c r="N17" s="262">
        <f>IF($C17&gt;5,ROUND($B17/$C17,2),$B17-SUM(G17:M17))</f>
        <v>3.7100000000000009</v>
      </c>
      <c r="O17" s="237"/>
      <c r="P17" s="237"/>
      <c r="Q17" s="237"/>
      <c r="R17" s="256"/>
    </row>
    <row r="18" spans="1:19" x14ac:dyDescent="0.25">
      <c r="A18" s="260">
        <v>44742</v>
      </c>
      <c r="B18" s="289">
        <v>-4325.54</v>
      </c>
      <c r="C18" s="275">
        <v>4.3899999999999997</v>
      </c>
      <c r="D18" s="237"/>
      <c r="E18" s="264"/>
      <c r="F18" s="264"/>
      <c r="G18" s="264"/>
      <c r="H18" s="264"/>
      <c r="I18" s="264"/>
      <c r="J18" s="264"/>
      <c r="K18" s="262">
        <f>IF($C18&gt;2,ROUND($B18/$C18,2),$B18-SUM(H18:J18))</f>
        <v>-985.32</v>
      </c>
      <c r="L18" s="262">
        <f>IF($C18&gt;2,ROUND($B18/$C18,2),$B18-SUM(H18:K18))</f>
        <v>-985.32</v>
      </c>
      <c r="M18" s="262">
        <f>IF($C18&gt;3,ROUND($B18/$C18,2),$B18-SUM(H18:L18))</f>
        <v>-985.32</v>
      </c>
      <c r="N18" s="262">
        <f>IF($C18&gt;4,ROUND($B18/$C18,2),$B18-SUM(H18:M18))</f>
        <v>-985.32</v>
      </c>
      <c r="O18" s="262">
        <f>IF($C18&gt;5,ROUND($B18/$C18,2),$B18-SUM(H18:N18))</f>
        <v>-384.25999999999976</v>
      </c>
      <c r="P18" s="237"/>
      <c r="Q18" s="237"/>
      <c r="R18" s="256"/>
    </row>
    <row r="19" spans="1:19" x14ac:dyDescent="0.25">
      <c r="A19" s="260">
        <v>45107</v>
      </c>
      <c r="B19" s="289">
        <v>5845.31</v>
      </c>
      <c r="C19" s="275">
        <v>4.33</v>
      </c>
      <c r="D19" s="237"/>
      <c r="E19" s="264"/>
      <c r="F19" s="264"/>
      <c r="G19" s="264"/>
      <c r="H19" s="264"/>
      <c r="I19" s="264"/>
      <c r="J19" s="264"/>
      <c r="K19" s="262"/>
      <c r="L19" s="262">
        <f>IF($C19&gt;2,ROUND($B19/$C19,2),$B19-SUM(I19:K19))</f>
        <v>1349.96</v>
      </c>
      <c r="M19" s="262">
        <f>IF($C19&gt;2,ROUND($B19/$C19,2),$B19-SUM(I19:L19))</f>
        <v>1349.96</v>
      </c>
      <c r="N19" s="262">
        <f>IF($C19&gt;3,ROUND($B19/$C19,2),$B19-SUM(I19:M19))</f>
        <v>1349.96</v>
      </c>
      <c r="O19" s="262">
        <f>IF($C19&gt;4,ROUND($B19/$C19,2),$B19-SUM(I19:N19))</f>
        <v>1349.96</v>
      </c>
      <c r="P19" s="262">
        <f>IF($C19&gt;5,ROUND($B19/$C19,2),$B19-SUM(I19:O19))</f>
        <v>445.47000000000025</v>
      </c>
      <c r="Q19" s="237"/>
      <c r="R19" s="256"/>
    </row>
    <row r="20" spans="1:19" s="237" customFormat="1" x14ac:dyDescent="0.25">
      <c r="A20" s="365">
        <v>45473</v>
      </c>
      <c r="B20" s="289">
        <v>12328.15</v>
      </c>
      <c r="C20" s="275">
        <v>4.28</v>
      </c>
      <c r="E20" s="264"/>
      <c r="F20" s="264"/>
      <c r="G20" s="264"/>
      <c r="H20" s="264"/>
      <c r="I20" s="264"/>
      <c r="J20" s="264"/>
      <c r="K20" s="262"/>
      <c r="L20" s="262"/>
      <c r="M20" s="262">
        <f>IF($C20&gt;2,ROUND($B20/$C20,2),$B20-SUM(J20:L20))</f>
        <v>2880.41</v>
      </c>
      <c r="N20" s="262">
        <f>IF($C20&gt;2,ROUND($B20/$C20,2),$B20-SUM(J20:M20))</f>
        <v>2880.41</v>
      </c>
      <c r="O20" s="262">
        <f>IF($C20&gt;3,ROUND($B20/$C20,2),$B20-SUM(J20:N20))</f>
        <v>2880.41</v>
      </c>
      <c r="P20" s="262">
        <f>IF($C20&gt;4,ROUND($B20/$C20,2),$B20-SUM(J20:O20))</f>
        <v>2880.41</v>
      </c>
      <c r="Q20" s="262">
        <f>IF($C20&gt;5,ROUND($B20/$C20,2),$B20-SUM(J20:P20))</f>
        <v>806.51000000000022</v>
      </c>
      <c r="R20" s="256"/>
    </row>
    <row r="21" spans="1:19" ht="14.4" thickBot="1" x14ac:dyDescent="0.3">
      <c r="A21" s="270">
        <v>45838</v>
      </c>
      <c r="B21" s="328">
        <f>Calculations!J97+Calculations!J98</f>
        <v>2068.3726486799787</v>
      </c>
      <c r="C21" s="277">
        <v>4.29</v>
      </c>
      <c r="D21" s="271"/>
      <c r="E21" s="273"/>
      <c r="F21" s="273"/>
      <c r="G21" s="273"/>
      <c r="H21" s="273"/>
      <c r="I21" s="273"/>
      <c r="J21" s="273"/>
      <c r="K21" s="329"/>
      <c r="L21" s="329"/>
      <c r="M21" s="329"/>
      <c r="N21" s="329">
        <f>IF($C21&gt;2,ROUND($B21/$C21,2),$B21-SUM(K21:M21))</f>
        <v>482.14</v>
      </c>
      <c r="O21" s="329">
        <f>IF($C21&gt;2,ROUND($B21/$C21,2),$B21-SUM(K21:N21))</f>
        <v>482.14</v>
      </c>
      <c r="P21" s="329">
        <f>IF($C21&gt;3,ROUND($B21/$C21,2),$B21-SUM(K21:O21))</f>
        <v>482.14</v>
      </c>
      <c r="Q21" s="329">
        <f>IF($C21&gt;4,ROUND($B21/$C21,2),$B21-SUM(K21:P21))</f>
        <v>482.14</v>
      </c>
      <c r="R21" s="350">
        <f>IF($C21&gt;5,ROUND($B21/$C21,2),$B21-SUM(K21:Q21))</f>
        <v>139.81264867997879</v>
      </c>
      <c r="S21" s="237"/>
    </row>
    <row r="22" spans="1:19" ht="14.4" thickBot="1" x14ac:dyDescent="0.3">
      <c r="A22" s="106"/>
      <c r="B22" s="97"/>
      <c r="D22" s="100"/>
      <c r="E22" s="239"/>
      <c r="F22" s="239"/>
      <c r="G22" s="239"/>
      <c r="H22" s="239"/>
      <c r="I22" s="239"/>
      <c r="J22" s="239"/>
      <c r="Q22" s="237"/>
      <c r="R22" s="237"/>
    </row>
    <row r="23" spans="1:19" x14ac:dyDescent="0.25">
      <c r="A23" s="248" t="s">
        <v>787</v>
      </c>
      <c r="B23" s="249"/>
      <c r="C23" s="250"/>
      <c r="D23" s="251"/>
      <c r="E23" s="252"/>
      <c r="F23" s="252"/>
      <c r="G23" s="252"/>
      <c r="H23" s="252"/>
      <c r="I23" s="252"/>
      <c r="J23" s="252"/>
      <c r="K23" s="250"/>
      <c r="L23" s="250"/>
      <c r="M23" s="250"/>
      <c r="N23" s="250"/>
      <c r="O23" s="250"/>
      <c r="P23" s="250"/>
      <c r="Q23" s="250"/>
      <c r="R23" s="253"/>
    </row>
    <row r="24" spans="1:19" ht="21" x14ac:dyDescent="0.4">
      <c r="A24" s="254"/>
      <c r="B24" s="255"/>
      <c r="C24" s="237"/>
      <c r="D24" s="372" t="s">
        <v>121</v>
      </c>
      <c r="E24" s="372"/>
      <c r="F24" s="372"/>
      <c r="G24" s="372"/>
      <c r="H24" s="372"/>
      <c r="I24" s="372"/>
      <c r="J24" s="372"/>
      <c r="K24" s="372"/>
      <c r="L24" s="372"/>
      <c r="M24" s="372"/>
      <c r="N24" s="372"/>
      <c r="O24" s="372"/>
      <c r="P24" s="372"/>
      <c r="Q24" s="237"/>
      <c r="R24" s="256"/>
    </row>
    <row r="25" spans="1:19" x14ac:dyDescent="0.25">
      <c r="A25" s="257" t="s">
        <v>201</v>
      </c>
      <c r="B25" s="344" t="s">
        <v>118</v>
      </c>
      <c r="C25" s="344" t="s">
        <v>153</v>
      </c>
      <c r="D25" s="344"/>
      <c r="E25" s="344"/>
      <c r="F25" s="344"/>
      <c r="G25" s="344"/>
      <c r="H25" s="344"/>
      <c r="I25" s="344"/>
      <c r="J25" s="344"/>
      <c r="K25" s="237"/>
      <c r="L25" s="237"/>
      <c r="M25" s="237"/>
      <c r="N25" s="237"/>
      <c r="O25" s="237"/>
      <c r="P25" s="237"/>
      <c r="Q25" s="237"/>
      <c r="R25" s="256"/>
    </row>
    <row r="26" spans="1:19" x14ac:dyDescent="0.25">
      <c r="A26" s="258" t="s">
        <v>202</v>
      </c>
      <c r="B26" s="255" t="s">
        <v>784</v>
      </c>
      <c r="C26" s="344" t="s">
        <v>154</v>
      </c>
      <c r="D26" s="259">
        <v>2015</v>
      </c>
      <c r="E26" s="259">
        <v>2016</v>
      </c>
      <c r="F26" s="259">
        <v>2017</v>
      </c>
      <c r="G26" s="259">
        <v>2018</v>
      </c>
      <c r="H26" s="259">
        <v>2019</v>
      </c>
      <c r="I26" s="259">
        <v>2020</v>
      </c>
      <c r="J26" s="259">
        <v>2021</v>
      </c>
      <c r="K26" s="259">
        <v>2022</v>
      </c>
      <c r="L26" s="259">
        <v>2023</v>
      </c>
      <c r="M26" s="259">
        <v>2024</v>
      </c>
      <c r="N26" s="259">
        <v>2025</v>
      </c>
      <c r="O26" s="259">
        <v>2026</v>
      </c>
      <c r="P26" s="259">
        <v>2027</v>
      </c>
      <c r="Q26" s="259">
        <v>2028</v>
      </c>
      <c r="R26" s="349">
        <v>2029</v>
      </c>
    </row>
    <row r="27" spans="1:19" x14ac:dyDescent="0.25">
      <c r="A27" s="260">
        <v>42185</v>
      </c>
      <c r="B27" s="261">
        <f t="shared" ref="B27:B35" si="0">IF(B11&gt;0,B11,0)</f>
        <v>1062.45</v>
      </c>
      <c r="C27" s="262">
        <f t="shared" ref="C27:C35" si="1">C11</f>
        <v>4.4400000000000004</v>
      </c>
      <c r="D27" s="366">
        <f>IF($C27&gt;0,ROUND($B27/$C27,0),0)</f>
        <v>239</v>
      </c>
      <c r="E27" s="366">
        <f>IF($C$11&gt;2,ROUND($B$11/$C$11,0),$B$11-SUM(D27:D27))</f>
        <v>239</v>
      </c>
      <c r="F27" s="366">
        <f>IF($C27&gt;3,ROUND($B27/$C27,0),$B27-SUM(D27:E27))</f>
        <v>239</v>
      </c>
      <c r="G27" s="366">
        <f>IF($C27&gt;4,ROUND($B27/$C27,0),$B27-SUM(D27:F27))</f>
        <v>239</v>
      </c>
      <c r="H27" s="366">
        <f>IF($C27&gt;5,ROUND($B27/$C27,0),$B27-SUM(D27:G27))</f>
        <v>106.45000000000005</v>
      </c>
      <c r="I27" s="366">
        <f>IF($C27&gt;6,ROUND($B27/$C27,0),$B27-SUM(D27:H27))</f>
        <v>0</v>
      </c>
      <c r="J27" s="237"/>
      <c r="K27" s="237"/>
      <c r="L27" s="237"/>
      <c r="M27" s="237"/>
      <c r="N27" s="237"/>
      <c r="O27" s="237"/>
      <c r="P27" s="237"/>
      <c r="Q27" s="237"/>
      <c r="R27" s="256"/>
    </row>
    <row r="28" spans="1:19" x14ac:dyDescent="0.25">
      <c r="A28" s="260">
        <v>42551</v>
      </c>
      <c r="B28" s="261">
        <f t="shared" si="0"/>
        <v>0</v>
      </c>
      <c r="C28" s="262">
        <f t="shared" si="1"/>
        <v>4.38</v>
      </c>
      <c r="D28" s="237"/>
      <c r="E28" s="262">
        <f>IF($C28&gt;2,ROUND($B28/$C28,2),$B28-SUM(C28:D28))</f>
        <v>0</v>
      </c>
      <c r="F28" s="262">
        <f>IF($C28&gt;2,ROUND($B28/$C28,2),$B28-SUM(D28:E28))</f>
        <v>0</v>
      </c>
      <c r="G28" s="262">
        <f>IF($C28&gt;3,ROUND($B28/$C28,2),$B28-SUM(D28:F28))</f>
        <v>0</v>
      </c>
      <c r="H28" s="262">
        <f>IF($C28&gt;4,ROUND($B28/$C28,2),$B28-SUM(D28:G28))</f>
        <v>0</v>
      </c>
      <c r="I28" s="262">
        <f>IF($C28&gt;5,ROUND($B28/$C28,2),$B28-SUM(E28:H28))</f>
        <v>0</v>
      </c>
      <c r="J28" s="262">
        <f>IF($C28&gt;6,ROUND($B28/$C28,0),$B28-SUM(E28:I28))</f>
        <v>0</v>
      </c>
      <c r="K28" s="237"/>
      <c r="L28" s="237"/>
      <c r="M28" s="237"/>
      <c r="N28" s="237"/>
      <c r="O28" s="237"/>
      <c r="P28" s="237"/>
      <c r="Q28" s="237"/>
      <c r="R28" s="256"/>
    </row>
    <row r="29" spans="1:19" x14ac:dyDescent="0.25">
      <c r="A29" s="260">
        <v>42916</v>
      </c>
      <c r="B29" s="261">
        <f t="shared" si="0"/>
        <v>12053.06</v>
      </c>
      <c r="C29" s="262">
        <f t="shared" si="1"/>
        <v>4.46</v>
      </c>
      <c r="D29" s="237"/>
      <c r="E29" s="262"/>
      <c r="F29" s="262">
        <f>IF($C29&gt;2,ROUND($B29/$C29,2),$B29-SUM(D29:E29))</f>
        <v>2702.48</v>
      </c>
      <c r="G29" s="262">
        <f>IF($C29&gt;2,ROUND($B29/$C29,2),$B29-SUM(D29:F29))</f>
        <v>2702.48</v>
      </c>
      <c r="H29" s="262">
        <f>IF($C29&gt;3,ROUND($B29/$C29,2),$B29-SUM(D29:G29))</f>
        <v>2702.48</v>
      </c>
      <c r="I29" s="262">
        <f>IF($C29&gt;4,ROUND($B29/$C29,2),$B29-SUM(E29:H29))</f>
        <v>2702.48</v>
      </c>
      <c r="J29" s="262">
        <f>IF($C29&gt;5,ROUND($B29/$C29,2),$B29-SUM(F29:I29))</f>
        <v>1243.1399999999994</v>
      </c>
      <c r="K29" s="237"/>
      <c r="L29" s="237"/>
      <c r="M29" s="237"/>
      <c r="N29" s="237"/>
      <c r="O29" s="237"/>
      <c r="P29" s="237"/>
      <c r="Q29" s="237"/>
      <c r="R29" s="256"/>
    </row>
    <row r="30" spans="1:19" x14ac:dyDescent="0.25">
      <c r="A30" s="260">
        <v>43281</v>
      </c>
      <c r="B30" s="261">
        <f t="shared" si="0"/>
        <v>0</v>
      </c>
      <c r="C30" s="262">
        <f t="shared" si="1"/>
        <v>4.3099999999999996</v>
      </c>
      <c r="D30" s="237"/>
      <c r="E30" s="264"/>
      <c r="F30" s="264"/>
      <c r="G30" s="262">
        <f>IF($C30&gt;2,ROUND($B30/$C30,2),$B30-SUM(E30:F30))</f>
        <v>0</v>
      </c>
      <c r="H30" s="262">
        <f>IF($C30&gt;2,ROUND($B30/$C30,2),$B30-SUM(E30:G30))</f>
        <v>0</v>
      </c>
      <c r="I30" s="262">
        <f>IF($C30&gt;3,ROUND($B30/$C30,2),$B30-SUM(E30:H30))</f>
        <v>0</v>
      </c>
      <c r="J30" s="262">
        <f>IF($C30&gt;4,ROUND($B30/$C30,2),$B30-SUM(F30:I30))</f>
        <v>0</v>
      </c>
      <c r="K30" s="262">
        <f>IF($C30&gt;5,ROUND($B30/$C30,2),$B30-SUM(G30:J30))</f>
        <v>0</v>
      </c>
      <c r="L30" s="262"/>
      <c r="M30" s="262"/>
      <c r="N30" s="262"/>
      <c r="O30" s="237"/>
      <c r="P30" s="237"/>
      <c r="Q30" s="237"/>
      <c r="R30" s="256"/>
    </row>
    <row r="31" spans="1:19" x14ac:dyDescent="0.25">
      <c r="A31" s="260">
        <v>43646</v>
      </c>
      <c r="B31" s="261">
        <f t="shared" si="0"/>
        <v>12231.98</v>
      </c>
      <c r="C31" s="262">
        <f t="shared" si="1"/>
        <v>4.4400000000000004</v>
      </c>
      <c r="D31" s="237"/>
      <c r="E31" s="264"/>
      <c r="F31" s="264"/>
      <c r="G31" s="264"/>
      <c r="H31" s="262">
        <f>IF($C31&gt;2,ROUND($B31/$C31,2),$B31-SUM(F31:G31))</f>
        <v>2754.95</v>
      </c>
      <c r="I31" s="262">
        <f>IF($C31&gt;2,ROUND($B31/$C31,2),$B31-SUM(F31:H31))</f>
        <v>2754.95</v>
      </c>
      <c r="J31" s="262">
        <f>IF($C31&gt;3,ROUND($B31/$C31,2),$B31-SUM(F31:I31))</f>
        <v>2754.95</v>
      </c>
      <c r="K31" s="262">
        <f>IF($C31&gt;4,ROUND($B31/$C31,2),$B31-SUM(G31:J31))</f>
        <v>2754.95</v>
      </c>
      <c r="L31" s="262">
        <f>IF($C31&gt;5,ROUND($B31/$C31,2),$B31-SUM(H31:K31))</f>
        <v>1212.1800000000003</v>
      </c>
      <c r="M31" s="262"/>
      <c r="N31" s="262"/>
      <c r="O31" s="237"/>
      <c r="P31" s="237"/>
      <c r="Q31" s="237"/>
      <c r="R31" s="256"/>
    </row>
    <row r="32" spans="1:19" x14ac:dyDescent="0.25">
      <c r="A32" s="260">
        <v>44012</v>
      </c>
      <c r="B32" s="261">
        <f t="shared" si="0"/>
        <v>0</v>
      </c>
      <c r="C32" s="262">
        <f t="shared" si="1"/>
        <v>4.34</v>
      </c>
      <c r="D32" s="237"/>
      <c r="E32" s="264"/>
      <c r="F32" s="264"/>
      <c r="G32" s="264"/>
      <c r="H32" s="264"/>
      <c r="I32" s="262">
        <f>IF($C32&gt;2,ROUND($B32/$C32,2),$B32-SUM(G32:H32))</f>
        <v>0</v>
      </c>
      <c r="J32" s="262">
        <f>IF($C32&gt;2,ROUND($B32/$C32,2),$B32-SUM(G32:I32))</f>
        <v>0</v>
      </c>
      <c r="K32" s="262">
        <f>IF($C32&gt;3,ROUND($B32/$C32,2),$B32-SUM(G32:J32))</f>
        <v>0</v>
      </c>
      <c r="L32" s="262">
        <f>IF($C32&gt;4,ROUND($B32/$C32,2),$B32-SUM(H32:K32))</f>
        <v>0</v>
      </c>
      <c r="M32" s="262">
        <f>IF($C32&gt;5,ROUND($B32/$C32,2),$B32-SUM(I32:L32))</f>
        <v>0</v>
      </c>
      <c r="N32" s="262"/>
      <c r="O32" s="237"/>
      <c r="P32" s="237"/>
      <c r="Q32" s="237"/>
      <c r="R32" s="256"/>
    </row>
    <row r="33" spans="1:19" x14ac:dyDescent="0.25">
      <c r="A33" s="260">
        <v>44377</v>
      </c>
      <c r="B33" s="261">
        <f t="shared" si="0"/>
        <v>62.75</v>
      </c>
      <c r="C33" s="262">
        <f t="shared" si="1"/>
        <v>4.25</v>
      </c>
      <c r="D33" s="237"/>
      <c r="E33" s="264"/>
      <c r="F33" s="264"/>
      <c r="G33" s="264"/>
      <c r="H33" s="264"/>
      <c r="I33" s="264"/>
      <c r="J33" s="262">
        <f>IF($C33&gt;2,ROUND($B33/$C33,2),$B33-SUM(H33:I33))</f>
        <v>14.76</v>
      </c>
      <c r="K33" s="262">
        <f>IF($C33&gt;2,ROUND($B33/$C33,2),$B33-SUM(H33:J33))</f>
        <v>14.76</v>
      </c>
      <c r="L33" s="262">
        <f>IF($C33&gt;3,ROUND($B33/$C33,2),$B33-SUM(H33:K33))</f>
        <v>14.76</v>
      </c>
      <c r="M33" s="262">
        <f>IF($C33&gt;4,ROUND($B33/$C33,2),$B33-SUM(I33:L33))</f>
        <v>14.76</v>
      </c>
      <c r="N33" s="262">
        <f>IF($C33&gt;5,ROUND($B33/$C33,2),$B33-SUM(J33:M33))</f>
        <v>3.7100000000000009</v>
      </c>
      <c r="O33" s="237"/>
      <c r="P33" s="237"/>
      <c r="Q33" s="237"/>
      <c r="R33" s="256"/>
    </row>
    <row r="34" spans="1:19" x14ac:dyDescent="0.25">
      <c r="A34" s="260">
        <v>44742</v>
      </c>
      <c r="B34" s="261">
        <f t="shared" si="0"/>
        <v>0</v>
      </c>
      <c r="C34" s="262">
        <f t="shared" si="1"/>
        <v>4.3899999999999997</v>
      </c>
      <c r="D34" s="237"/>
      <c r="E34" s="264"/>
      <c r="F34" s="264"/>
      <c r="G34" s="264"/>
      <c r="H34" s="264"/>
      <c r="I34" s="264"/>
      <c r="J34" s="264"/>
      <c r="K34" s="262">
        <f>IF($C34&gt;2,ROUND($B34/$C34,2),$B34-SUM(I34:J34))</f>
        <v>0</v>
      </c>
      <c r="L34" s="262">
        <f>IF($C34&gt;2,ROUND($B34/$C34,2),$B34-SUM(I34:K34))</f>
        <v>0</v>
      </c>
      <c r="M34" s="262">
        <f>IF($C34&gt;3,ROUND($B34/$C34,2),$B34-SUM(I34:L34))</f>
        <v>0</v>
      </c>
      <c r="N34" s="262">
        <f>IF($C34&gt;4,ROUND($B34/$C34,2),$B34-SUM(I34:M34))</f>
        <v>0</v>
      </c>
      <c r="O34" s="262">
        <f>IF($C34&gt;5,ROUND($B34/$C34,2),$B34-SUM(I34:N34))</f>
        <v>0</v>
      </c>
      <c r="P34" s="237"/>
      <c r="Q34" s="237"/>
      <c r="R34" s="256"/>
    </row>
    <row r="35" spans="1:19" x14ac:dyDescent="0.25">
      <c r="A35" s="260">
        <v>45107</v>
      </c>
      <c r="B35" s="261">
        <f t="shared" si="0"/>
        <v>5845.31</v>
      </c>
      <c r="C35" s="262">
        <f t="shared" si="1"/>
        <v>4.33</v>
      </c>
      <c r="D35" s="237"/>
      <c r="E35" s="264"/>
      <c r="F35" s="264"/>
      <c r="G35" s="264"/>
      <c r="H35" s="264"/>
      <c r="I35" s="264"/>
      <c r="J35" s="264"/>
      <c r="K35" s="262"/>
      <c r="L35" s="262">
        <f>IF($C35&gt;2,ROUND($B35/$C35,2),$B35-SUM(J35:K35))</f>
        <v>1349.96</v>
      </c>
      <c r="M35" s="262">
        <f>IF($C35&gt;2,ROUND($B35/$C35,2),$B35-SUM(J35:L35))</f>
        <v>1349.96</v>
      </c>
      <c r="N35" s="262">
        <f>IF($C35&gt;3,ROUND($B35/$C35,2),$B35-SUM(J35:M35))</f>
        <v>1349.96</v>
      </c>
      <c r="O35" s="262">
        <f>IF($C35&gt;4,ROUND($B35/$C35,2),$B35-SUM(J35:N35))</f>
        <v>1349.96</v>
      </c>
      <c r="P35" s="262">
        <f>IF($C35&gt;5,ROUND($B35/$C35,2),$B35-SUM(J35:O35))</f>
        <v>445.47000000000025</v>
      </c>
      <c r="Q35" s="237"/>
      <c r="R35" s="256"/>
    </row>
    <row r="36" spans="1:19" x14ac:dyDescent="0.25">
      <c r="A36" s="260">
        <v>45473</v>
      </c>
      <c r="B36" s="261">
        <f t="shared" ref="B36:B37" si="2">IF(B20&gt;0,B20,0)</f>
        <v>12328.15</v>
      </c>
      <c r="C36" s="262">
        <f t="shared" ref="C36:C37" si="3">C20</f>
        <v>4.28</v>
      </c>
      <c r="D36" s="237"/>
      <c r="E36" s="264"/>
      <c r="F36" s="264"/>
      <c r="G36" s="264"/>
      <c r="H36" s="264"/>
      <c r="I36" s="264"/>
      <c r="J36" s="264"/>
      <c r="K36" s="262"/>
      <c r="L36" s="262"/>
      <c r="M36" s="262">
        <f>IF($C36&gt;2,ROUND($B36/$C36,2),$B36-SUM(K36:L36))</f>
        <v>2880.41</v>
      </c>
      <c r="N36" s="262">
        <f>IF($C36&gt;2,ROUND($B36/$C36,2),$B36-SUM(K36:M36))</f>
        <v>2880.41</v>
      </c>
      <c r="O36" s="262">
        <f>IF($C36&gt;3,ROUND($B36/$C36,2),$B36-SUM(K36:N36))</f>
        <v>2880.41</v>
      </c>
      <c r="P36" s="262">
        <f>IF($C36&gt;4,ROUND($B36/$C36,2),$B36-SUM(K36:O36))</f>
        <v>2880.41</v>
      </c>
      <c r="Q36" s="262">
        <f>IF($C36&gt;5,ROUND($B36/$C36,2),$B36-SUM(K36:P36))</f>
        <v>806.51000000000022</v>
      </c>
      <c r="R36" s="256"/>
    </row>
    <row r="37" spans="1:19" x14ac:dyDescent="0.25">
      <c r="A37" s="260">
        <v>45838</v>
      </c>
      <c r="B37" s="261">
        <f t="shared" si="2"/>
        <v>2068.3726486799787</v>
      </c>
      <c r="C37" s="262">
        <f t="shared" si="3"/>
        <v>4.29</v>
      </c>
      <c r="D37" s="237"/>
      <c r="E37" s="264"/>
      <c r="F37" s="264"/>
      <c r="G37" s="264"/>
      <c r="H37" s="264"/>
      <c r="I37" s="264"/>
      <c r="J37" s="264"/>
      <c r="K37" s="262"/>
      <c r="L37" s="262"/>
      <c r="M37" s="262"/>
      <c r="N37" s="262">
        <f>IF($C37&gt;2,ROUND($B37/$C37,2),$B37-SUM(L37:M37))</f>
        <v>482.14</v>
      </c>
      <c r="O37" s="262">
        <f>IF($C37&gt;2,ROUND($B37/$C37,2),$B37-SUM(L37:N37))</f>
        <v>482.14</v>
      </c>
      <c r="P37" s="262">
        <f>IF($C37&gt;3,ROUND($B37/$C37,2),$B37-SUM(L37:O37))</f>
        <v>482.14</v>
      </c>
      <c r="Q37" s="262">
        <f>IF($C37&gt;4,ROUND($B37/$C37,2),$B37-SUM(L37:P37))</f>
        <v>482.14</v>
      </c>
      <c r="R37" s="351">
        <f>IF($C37&gt;5,ROUND($B37/$C37,2),$B37-SUM(L37:Q37))</f>
        <v>139.81264867997879</v>
      </c>
      <c r="S37" s="237"/>
    </row>
    <row r="38" spans="1:19" x14ac:dyDescent="0.25">
      <c r="A38" s="265"/>
      <c r="B38" s="237"/>
      <c r="C38" s="237"/>
      <c r="D38" s="237"/>
      <c r="E38" s="266"/>
      <c r="F38" s="266"/>
      <c r="G38" s="266"/>
      <c r="H38" s="266"/>
      <c r="I38" s="266"/>
      <c r="J38" s="266"/>
      <c r="K38" s="237"/>
      <c r="L38" s="237"/>
      <c r="M38" s="237"/>
      <c r="N38" s="237"/>
      <c r="O38" s="237"/>
      <c r="P38" s="237"/>
      <c r="Q38" s="237"/>
      <c r="R38" s="256"/>
      <c r="S38" s="237"/>
    </row>
    <row r="39" spans="1:19" x14ac:dyDescent="0.25">
      <c r="A39" s="267" t="s">
        <v>119</v>
      </c>
      <c r="B39" s="237"/>
      <c r="C39" s="237"/>
      <c r="D39" s="268">
        <f t="shared" ref="D39" si="4">SUM(D27:D34)</f>
        <v>239</v>
      </c>
      <c r="E39" s="264">
        <f>SUM(E27:E37)</f>
        <v>239</v>
      </c>
      <c r="F39" s="264">
        <f t="shared" ref="F39:Q39" si="5">SUM(F27:F37)</f>
        <v>2941.48</v>
      </c>
      <c r="G39" s="264">
        <f t="shared" si="5"/>
        <v>2941.48</v>
      </c>
      <c r="H39" s="264">
        <f t="shared" si="5"/>
        <v>5563.88</v>
      </c>
      <c r="I39" s="264">
        <f t="shared" si="5"/>
        <v>5457.43</v>
      </c>
      <c r="J39" s="264">
        <f t="shared" si="5"/>
        <v>4012.8499999999995</v>
      </c>
      <c r="K39" s="264">
        <f t="shared" si="5"/>
        <v>2769.71</v>
      </c>
      <c r="L39" s="264">
        <f t="shared" si="5"/>
        <v>2576.9000000000005</v>
      </c>
      <c r="M39" s="264">
        <f t="shared" si="5"/>
        <v>4245.13</v>
      </c>
      <c r="N39" s="264">
        <f t="shared" si="5"/>
        <v>4716.22</v>
      </c>
      <c r="O39" s="264">
        <f t="shared" si="5"/>
        <v>4712.51</v>
      </c>
      <c r="P39" s="264">
        <f>SUM(P27:P37)</f>
        <v>3808.02</v>
      </c>
      <c r="Q39" s="264">
        <f t="shared" si="5"/>
        <v>1288.6500000000001</v>
      </c>
      <c r="R39" s="352">
        <f t="shared" ref="R39" si="6">SUM(R27:R37)</f>
        <v>139.81264867997879</v>
      </c>
      <c r="S39" s="237"/>
    </row>
    <row r="40" spans="1:19" x14ac:dyDescent="0.25">
      <c r="A40" s="269"/>
      <c r="B40" s="237"/>
      <c r="C40" s="237"/>
      <c r="D40" s="268"/>
      <c r="E40" s="264"/>
      <c r="F40" s="264"/>
      <c r="G40" s="264"/>
      <c r="H40" s="264"/>
      <c r="I40" s="264"/>
      <c r="J40" s="264"/>
      <c r="K40" s="237"/>
      <c r="L40" s="237"/>
      <c r="M40" s="237"/>
      <c r="N40" s="237"/>
      <c r="O40" s="237"/>
      <c r="P40" s="237"/>
      <c r="Q40" s="237"/>
      <c r="R40" s="256"/>
      <c r="S40" s="237"/>
    </row>
    <row r="41" spans="1:19" x14ac:dyDescent="0.25">
      <c r="A41" s="267" t="s">
        <v>789</v>
      </c>
      <c r="B41" s="344"/>
      <c r="C41" s="237"/>
      <c r="D41" s="268">
        <f>SUM(E27:J27)</f>
        <v>823.45</v>
      </c>
      <c r="E41" s="264">
        <f>SUM(F27:K28)</f>
        <v>584.45000000000005</v>
      </c>
      <c r="F41" s="264">
        <f>SUM(G27:K29)</f>
        <v>9696.0299999999988</v>
      </c>
      <c r="G41" s="264">
        <f>SUM(H27:L30)</f>
        <v>6754.5499999999993</v>
      </c>
      <c r="H41" s="264">
        <f>SUM(I27:M31)</f>
        <v>13422.650000000001</v>
      </c>
      <c r="I41" s="264">
        <f>SUM(J27:M32)</f>
        <v>7965.2199999999993</v>
      </c>
      <c r="J41" s="264">
        <f>SUM(K27:N33)</f>
        <v>4015.1200000000008</v>
      </c>
      <c r="K41" s="264">
        <f>SUM(L27:O34)</f>
        <v>1245.4100000000003</v>
      </c>
      <c r="L41" s="264">
        <f>SUM(M27:P35)</f>
        <v>4513.8200000000006</v>
      </c>
      <c r="M41" s="264">
        <f>SUM(N27:R36)</f>
        <v>12596.84</v>
      </c>
      <c r="N41" s="264">
        <f>SUM(O27:R37)</f>
        <v>9948.9926486799777</v>
      </c>
      <c r="O41" s="264">
        <f>SUM(P27:S37)</f>
        <v>5236.4826486799793</v>
      </c>
      <c r="P41" s="264">
        <f>SUM(Q27:T37)</f>
        <v>1428.4626486799789</v>
      </c>
      <c r="Q41" s="264">
        <f>SUM(R27:U38)</f>
        <v>139.81264867997879</v>
      </c>
      <c r="R41" s="352">
        <f>SUM(S27:V38)</f>
        <v>0</v>
      </c>
      <c r="S41" s="237"/>
    </row>
    <row r="42" spans="1:19" ht="14.4" thickBot="1" x14ac:dyDescent="0.3">
      <c r="A42" s="270"/>
      <c r="B42" s="271"/>
      <c r="C42" s="271"/>
      <c r="D42" s="272"/>
      <c r="E42" s="273"/>
      <c r="F42" s="273"/>
      <c r="G42" s="273"/>
      <c r="H42" s="273"/>
      <c r="I42" s="273"/>
      <c r="J42" s="273"/>
      <c r="K42" s="271"/>
      <c r="L42" s="271"/>
      <c r="M42" s="271"/>
      <c r="N42" s="271"/>
      <c r="O42" s="271"/>
      <c r="P42" s="271"/>
      <c r="Q42" s="271"/>
      <c r="R42" s="274"/>
    </row>
    <row r="43" spans="1:19" ht="14.4" thickBot="1" x14ac:dyDescent="0.3">
      <c r="A43" s="99"/>
      <c r="D43" s="100"/>
      <c r="E43" s="239"/>
      <c r="F43" s="239"/>
      <c r="G43" s="239"/>
      <c r="H43" s="239"/>
      <c r="I43" s="239"/>
      <c r="J43" s="239"/>
      <c r="Q43" s="237"/>
      <c r="R43" s="237"/>
    </row>
    <row r="44" spans="1:19" x14ac:dyDescent="0.25">
      <c r="A44" s="248" t="s">
        <v>788</v>
      </c>
      <c r="B44" s="249"/>
      <c r="C44" s="250"/>
      <c r="D44" s="251"/>
      <c r="E44" s="252"/>
      <c r="F44" s="252"/>
      <c r="G44" s="252"/>
      <c r="H44" s="252"/>
      <c r="I44" s="252"/>
      <c r="J44" s="252"/>
      <c r="K44" s="250"/>
      <c r="L44" s="250"/>
      <c r="M44" s="250"/>
      <c r="N44" s="250"/>
      <c r="O44" s="250"/>
      <c r="P44" s="250"/>
      <c r="Q44" s="250"/>
      <c r="R44" s="253"/>
    </row>
    <row r="45" spans="1:19" ht="21" x14ac:dyDescent="0.4">
      <c r="A45" s="254"/>
      <c r="B45" s="255"/>
      <c r="C45" s="237"/>
      <c r="D45" s="372" t="s">
        <v>121</v>
      </c>
      <c r="E45" s="372"/>
      <c r="F45" s="372"/>
      <c r="G45" s="372"/>
      <c r="H45" s="372"/>
      <c r="I45" s="372"/>
      <c r="J45" s="372"/>
      <c r="K45" s="372"/>
      <c r="L45" s="372"/>
      <c r="M45" s="372"/>
      <c r="N45" s="372"/>
      <c r="O45" s="372"/>
      <c r="P45" s="372"/>
      <c r="Q45" s="237"/>
      <c r="R45" s="256"/>
    </row>
    <row r="46" spans="1:19" x14ac:dyDescent="0.25">
      <c r="A46" s="257" t="s">
        <v>201</v>
      </c>
      <c r="B46" s="344" t="s">
        <v>118</v>
      </c>
      <c r="C46" s="344" t="s">
        <v>153</v>
      </c>
      <c r="D46" s="344"/>
      <c r="E46" s="344"/>
      <c r="F46" s="344"/>
      <c r="G46" s="344"/>
      <c r="H46" s="344"/>
      <c r="I46" s="344"/>
      <c r="J46" s="344"/>
      <c r="K46" s="237"/>
      <c r="L46" s="237"/>
      <c r="M46" s="237"/>
      <c r="N46" s="237"/>
      <c r="O46" s="237"/>
      <c r="P46" s="237"/>
      <c r="Q46" s="237"/>
      <c r="R46" s="256"/>
    </row>
    <row r="47" spans="1:19" x14ac:dyDescent="0.25">
      <c r="A47" s="258" t="s">
        <v>202</v>
      </c>
      <c r="B47" s="255" t="s">
        <v>785</v>
      </c>
      <c r="C47" s="344" t="s">
        <v>154</v>
      </c>
      <c r="D47" s="259">
        <v>2015</v>
      </c>
      <c r="E47" s="259">
        <v>2016</v>
      </c>
      <c r="F47" s="259">
        <v>2017</v>
      </c>
      <c r="G47" s="259">
        <v>2018</v>
      </c>
      <c r="H47" s="259">
        <v>2019</v>
      </c>
      <c r="I47" s="259">
        <v>2020</v>
      </c>
      <c r="J47" s="259">
        <v>2021</v>
      </c>
      <c r="K47" s="259">
        <v>2022</v>
      </c>
      <c r="L47" s="259">
        <v>2023</v>
      </c>
      <c r="M47" s="259">
        <v>2024</v>
      </c>
      <c r="N47" s="259">
        <v>2025</v>
      </c>
      <c r="O47" s="259">
        <v>2026</v>
      </c>
      <c r="P47" s="259">
        <v>2027</v>
      </c>
      <c r="Q47" s="259">
        <v>2028</v>
      </c>
      <c r="R47" s="349">
        <v>2029</v>
      </c>
    </row>
    <row r="48" spans="1:19" x14ac:dyDescent="0.25">
      <c r="A48" s="260">
        <v>42185</v>
      </c>
      <c r="B48" s="261">
        <f t="shared" ref="B48:B56" si="7">IF(B11&lt;0,B11,0)</f>
        <v>0</v>
      </c>
      <c r="C48" s="262">
        <f t="shared" ref="C48:C56" si="8">C11</f>
        <v>4.4400000000000004</v>
      </c>
      <c r="D48" s="263">
        <f>IF($C48&gt;0,ROUND($B48/$C48,0),0)</f>
        <v>0</v>
      </c>
      <c r="E48" s="263">
        <f>IF($C48&gt;2,ROUND($B48/$C48,0),$B48-SUM(D48))</f>
        <v>0</v>
      </c>
      <c r="F48" s="263">
        <f>IF($C48&gt;3,ROUND($B48/$C48,0),$B48-SUM(D48:E48))</f>
        <v>0</v>
      </c>
      <c r="G48" s="263">
        <f>IF($C48&gt;4,ROUND($B48/$C48,0),$B48-SUM(D48:F48))</f>
        <v>0</v>
      </c>
      <c r="H48" s="263">
        <f>IF($C48&gt;5,ROUND($B48/$C48,0),$B48-SUM(D48:G48))</f>
        <v>0</v>
      </c>
      <c r="I48" s="263">
        <f>IF($C48&gt;6,ROUND($B48/$C48,0),$B48-SUM(D48:H48))</f>
        <v>0</v>
      </c>
      <c r="J48" s="237"/>
      <c r="K48" s="237"/>
      <c r="L48" s="237"/>
      <c r="M48" s="237"/>
      <c r="N48" s="237"/>
      <c r="O48" s="237"/>
      <c r="P48" s="237"/>
      <c r="Q48" s="237"/>
      <c r="R48" s="256"/>
    </row>
    <row r="49" spans="1:20" x14ac:dyDescent="0.25">
      <c r="A49" s="260">
        <v>42551</v>
      </c>
      <c r="B49" s="261">
        <f t="shared" si="7"/>
        <v>-1014.46</v>
      </c>
      <c r="C49" s="262">
        <f t="shared" si="8"/>
        <v>4.38</v>
      </c>
      <c r="D49" s="237"/>
      <c r="E49" s="262">
        <f>IF($C49&gt;2,ROUND($B49/$C49,2),$B49-SUM(C49:D49))</f>
        <v>-231.61</v>
      </c>
      <c r="F49" s="262">
        <f>IF($C49&gt;2,ROUND($B49/$C49,2),$B49-SUM(D49:E49))</f>
        <v>-231.61</v>
      </c>
      <c r="G49" s="262">
        <f>IF($C49&gt;3,ROUND($B49/$C49,2),$B49-SUM(D49:F49))</f>
        <v>-231.61</v>
      </c>
      <c r="H49" s="262">
        <f>IF($C49&gt;4,ROUND($B49/$C49,2),$B49-SUM(D49:G49))</f>
        <v>-231.61</v>
      </c>
      <c r="I49" s="262">
        <f>IF($C49&gt;5,ROUND($B49/$C49,2),$B49-SUM(E49:H49))</f>
        <v>-88.019999999999982</v>
      </c>
      <c r="J49" s="262">
        <f>IF($C49&gt;6,ROUND($B49/$C49,0),$B49-SUM(E49:I49))</f>
        <v>0</v>
      </c>
      <c r="K49" s="237"/>
      <c r="L49" s="237"/>
      <c r="M49" s="237"/>
      <c r="N49" s="237"/>
      <c r="O49" s="237"/>
      <c r="P49" s="237"/>
      <c r="Q49" s="237"/>
      <c r="R49" s="256"/>
    </row>
    <row r="50" spans="1:20" x14ac:dyDescent="0.25">
      <c r="A50" s="260">
        <v>42916</v>
      </c>
      <c r="B50" s="261">
        <f t="shared" si="7"/>
        <v>0</v>
      </c>
      <c r="C50" s="262">
        <f t="shared" si="8"/>
        <v>4.46</v>
      </c>
      <c r="D50" s="237"/>
      <c r="E50" s="262"/>
      <c r="F50" s="262">
        <f>IF($C50&gt;2,ROUND($B50/$C50,2),$B50-SUM(D50:E50))</f>
        <v>0</v>
      </c>
      <c r="G50" s="262">
        <f>IF($C50&gt;2,ROUND($B50/$C50,2),$B50-SUM(D50:F50))</f>
        <v>0</v>
      </c>
      <c r="H50" s="262">
        <f>IF($C50&gt;3,ROUND($B50/$C50,2),$B50-SUM(D50:G50))</f>
        <v>0</v>
      </c>
      <c r="I50" s="262">
        <f>IF($C50&gt;4,ROUND($B50/$C50,2),$B50-SUM(E50:H50))</f>
        <v>0</v>
      </c>
      <c r="J50" s="262">
        <f>IF($C50&gt;5,ROUND($B50/$C50,2),$B50-SUM(F50:I50))</f>
        <v>0</v>
      </c>
      <c r="K50" s="237"/>
      <c r="L50" s="237"/>
      <c r="M50" s="237"/>
      <c r="N50" s="237"/>
      <c r="O50" s="237"/>
      <c r="P50" s="237"/>
      <c r="Q50" s="237"/>
      <c r="R50" s="256"/>
    </row>
    <row r="51" spans="1:20" x14ac:dyDescent="0.25">
      <c r="A51" s="260">
        <v>43281</v>
      </c>
      <c r="B51" s="261">
        <f t="shared" si="7"/>
        <v>-5403.11</v>
      </c>
      <c r="C51" s="262">
        <f t="shared" si="8"/>
        <v>4.3099999999999996</v>
      </c>
      <c r="D51" s="237"/>
      <c r="E51" s="264"/>
      <c r="F51" s="264"/>
      <c r="G51" s="262">
        <f>IF($C51&gt;2,ROUND($B51/$C51,2),$B51-SUM(E51:F51))</f>
        <v>-1253.6199999999999</v>
      </c>
      <c r="H51" s="262">
        <f>IF($C51&gt;2,ROUND($B51/$C51,2),$B51-SUM(E51:G51))</f>
        <v>-1253.6199999999999</v>
      </c>
      <c r="I51" s="262">
        <f>IF($C51&gt;3,ROUND($B51/$C51,2),$B51-SUM(E51:H51))</f>
        <v>-1253.6199999999999</v>
      </c>
      <c r="J51" s="262">
        <f>IF($C51&gt;4,ROUND($B51/$C51,2),$B51-SUM(F51:I51))</f>
        <v>-1253.6199999999999</v>
      </c>
      <c r="K51" s="262">
        <f>IF($C51&gt;5,ROUND($B51/$C51,2),$B51-SUM(G51:J51))</f>
        <v>-388.63000000000011</v>
      </c>
      <c r="L51" s="262"/>
      <c r="M51" s="262"/>
      <c r="N51" s="262"/>
      <c r="O51" s="237"/>
      <c r="P51" s="237"/>
      <c r="Q51" s="237"/>
      <c r="R51" s="256"/>
    </row>
    <row r="52" spans="1:20" x14ac:dyDescent="0.25">
      <c r="A52" s="260">
        <v>43646</v>
      </c>
      <c r="B52" s="261">
        <f t="shared" si="7"/>
        <v>0</v>
      </c>
      <c r="C52" s="262">
        <f t="shared" si="8"/>
        <v>4.4400000000000004</v>
      </c>
      <c r="D52" s="237"/>
      <c r="E52" s="264"/>
      <c r="F52" s="264"/>
      <c r="G52" s="264"/>
      <c r="H52" s="262">
        <f>IF($C52&gt;2,ROUND($B52/$C52,2),$B52-SUM(F52:G52))</f>
        <v>0</v>
      </c>
      <c r="I52" s="262">
        <f>IF($C52&gt;2,ROUND($B52/$C52,2),$B52-SUM(F52:H52))</f>
        <v>0</v>
      </c>
      <c r="J52" s="262">
        <f>IF($C52&gt;3,ROUND($B52/$C52,2),$B52-SUM(F52:I52))</f>
        <v>0</v>
      </c>
      <c r="K52" s="262">
        <f>IF($C52&gt;4,ROUND($B52/$C52,2),$B52-SUM(G52:J52))</f>
        <v>0</v>
      </c>
      <c r="L52" s="262">
        <f>IF($C52&gt;5,ROUND($B52/$C52,2),$B52-SUM(H52:K52))</f>
        <v>0</v>
      </c>
      <c r="M52" s="262"/>
      <c r="N52" s="262"/>
      <c r="O52" s="237"/>
      <c r="P52" s="237"/>
      <c r="Q52" s="237"/>
      <c r="R52" s="256"/>
    </row>
    <row r="53" spans="1:20" x14ac:dyDescent="0.25">
      <c r="A53" s="260">
        <v>44012</v>
      </c>
      <c r="B53" s="261">
        <f t="shared" si="7"/>
        <v>-4887.07</v>
      </c>
      <c r="C53" s="262">
        <f t="shared" si="8"/>
        <v>4.34</v>
      </c>
      <c r="D53" s="237"/>
      <c r="E53" s="264"/>
      <c r="F53" s="264"/>
      <c r="G53" s="264"/>
      <c r="H53" s="264"/>
      <c r="I53" s="262">
        <f>IF($C53&gt;2,ROUND($B53/$C53,2),$B53-SUM(G53:H53))</f>
        <v>-1126.05</v>
      </c>
      <c r="J53" s="262">
        <f>IF($C53&gt;2,ROUND($B53/$C53,2),$B53-SUM(G53:I53))</f>
        <v>-1126.05</v>
      </c>
      <c r="K53" s="262">
        <f>IF($C53&gt;3,ROUND($B53/$C53,2),$B53-SUM(G53:J53))</f>
        <v>-1126.05</v>
      </c>
      <c r="L53" s="262">
        <f>IF($C53&gt;4,ROUND($B53/$C53,2),$B53-SUM(H53:K53))</f>
        <v>-1126.05</v>
      </c>
      <c r="M53" s="262">
        <f>IF($C53&gt;5,ROUND($B53/$C53,2),$B53-SUM(I53:L53))</f>
        <v>-382.86999999999989</v>
      </c>
      <c r="N53" s="262"/>
      <c r="O53" s="237"/>
      <c r="P53" s="237"/>
      <c r="Q53" s="237"/>
      <c r="R53" s="256"/>
    </row>
    <row r="54" spans="1:20" x14ac:dyDescent="0.25">
      <c r="A54" s="260">
        <v>44377</v>
      </c>
      <c r="B54" s="261">
        <f t="shared" si="7"/>
        <v>0</v>
      </c>
      <c r="C54" s="262">
        <f t="shared" si="8"/>
        <v>4.25</v>
      </c>
      <c r="D54" s="237"/>
      <c r="E54" s="264"/>
      <c r="F54" s="264"/>
      <c r="G54" s="264"/>
      <c r="H54" s="264"/>
      <c r="I54" s="264"/>
      <c r="J54" s="262">
        <f>IF($C54&gt;2,ROUND($B54/$C54,2),$B54-SUM(H54:I54))</f>
        <v>0</v>
      </c>
      <c r="K54" s="262">
        <f>IF($C54&gt;2,ROUND($B54/$C54,2),$B54-SUM(H54:J54))</f>
        <v>0</v>
      </c>
      <c r="L54" s="262">
        <f>IF($C54&gt;3,ROUND($B54/$C54,2),$B54-SUM(H54:K54))</f>
        <v>0</v>
      </c>
      <c r="M54" s="262">
        <f>IF($C54&gt;4,ROUND($B54/$C54,2),$B54-SUM(H54:L54))</f>
        <v>0</v>
      </c>
      <c r="N54" s="262">
        <f>IF($C54&gt;5,ROUND($B54/$C54,2),$B54-SUM(H54:M54))</f>
        <v>0</v>
      </c>
      <c r="O54" s="237"/>
      <c r="P54" s="237"/>
      <c r="Q54" s="237"/>
      <c r="R54" s="256"/>
    </row>
    <row r="55" spans="1:20" x14ac:dyDescent="0.25">
      <c r="A55" s="260">
        <v>44742</v>
      </c>
      <c r="B55" s="261">
        <f t="shared" si="7"/>
        <v>-4325.54</v>
      </c>
      <c r="C55" s="262">
        <f t="shared" si="8"/>
        <v>4.3899999999999997</v>
      </c>
      <c r="D55" s="237"/>
      <c r="E55" s="264"/>
      <c r="F55" s="264"/>
      <c r="G55" s="264"/>
      <c r="H55" s="264"/>
      <c r="I55" s="264"/>
      <c r="J55" s="264"/>
      <c r="K55" s="262">
        <f>IF($C55&gt;2,ROUND($B55/$C55,2),$B55-SUM(I55:J55))</f>
        <v>-985.32</v>
      </c>
      <c r="L55" s="262">
        <f>IF($C55&gt;2,ROUND($B55/$C55,2),$B55-SUM(I55:K55))</f>
        <v>-985.32</v>
      </c>
      <c r="M55" s="262">
        <f>IF($C55&gt;3,ROUND($B55/$C55,2),$B55-SUM(I55:L55))</f>
        <v>-985.32</v>
      </c>
      <c r="N55" s="262">
        <f>IF($C55&gt;4,ROUND($B55/$C55,2),$B55-SUM(I55:M55))</f>
        <v>-985.32</v>
      </c>
      <c r="O55" s="262">
        <f>IF($C55&gt;5,ROUND($B55/$C55,2),$B55-SUM(I55:N55))</f>
        <v>-384.25999999999976</v>
      </c>
      <c r="P55" s="237"/>
      <c r="Q55" s="237"/>
      <c r="R55" s="256"/>
    </row>
    <row r="56" spans="1:20" x14ac:dyDescent="0.25">
      <c r="A56" s="260">
        <v>45107</v>
      </c>
      <c r="B56" s="261">
        <f t="shared" si="7"/>
        <v>0</v>
      </c>
      <c r="C56" s="262">
        <f t="shared" si="8"/>
        <v>4.33</v>
      </c>
      <c r="D56" s="237"/>
      <c r="E56" s="264"/>
      <c r="F56" s="264"/>
      <c r="G56" s="264"/>
      <c r="H56" s="264"/>
      <c r="I56" s="264"/>
      <c r="J56" s="264"/>
      <c r="K56" s="262"/>
      <c r="L56" s="262">
        <f>IF($C56&gt;2,ROUND($B56/$C56,2),$B56-SUM(J56:K56))</f>
        <v>0</v>
      </c>
      <c r="M56" s="262">
        <f>IF($C56&gt;2,ROUND($B56/$C56,2),$B56-SUM(J56:L56))</f>
        <v>0</v>
      </c>
      <c r="N56" s="262">
        <f>IF($C56&gt;3,ROUND($B56/$C56,2),$B56-SUM(J56:M56))</f>
        <v>0</v>
      </c>
      <c r="O56" s="262">
        <f>IF($C56&gt;4,ROUND($B56/$C56,2),$B56-SUM(J56:N56))</f>
        <v>0</v>
      </c>
      <c r="P56" s="262">
        <f>IF($C56&gt;5,ROUND($B56/$C56,2),$B56-SUM(J56:O56))</f>
        <v>0</v>
      </c>
      <c r="Q56" s="237"/>
      <c r="R56" s="256"/>
    </row>
    <row r="57" spans="1:20" x14ac:dyDescent="0.25">
      <c r="A57" s="260">
        <v>45473</v>
      </c>
      <c r="B57" s="261">
        <f t="shared" ref="B57:B58" si="9">IF(B20&lt;0,B20,0)</f>
        <v>0</v>
      </c>
      <c r="C57" s="262">
        <f t="shared" ref="C57:C58" si="10">C20</f>
        <v>4.28</v>
      </c>
      <c r="D57" s="237"/>
      <c r="E57" s="264"/>
      <c r="F57" s="264"/>
      <c r="G57" s="264"/>
      <c r="H57" s="264"/>
      <c r="I57" s="264"/>
      <c r="J57" s="264"/>
      <c r="K57" s="262"/>
      <c r="L57" s="262"/>
      <c r="M57" s="262">
        <f>IF($C57&gt;2,ROUND($B57/$C57,2),$B57-SUM(K57:L57))</f>
        <v>0</v>
      </c>
      <c r="N57" s="262">
        <f>IF($C57&gt;2,ROUND($B57/$C57,2),$B57-SUM(K57:M57))</f>
        <v>0</v>
      </c>
      <c r="O57" s="262">
        <f>IF($C57&gt;3,ROUND($B57/$C57,2),$B57-SUM(K57:N57))</f>
        <v>0</v>
      </c>
      <c r="P57" s="262">
        <f>IF($C57&gt;4,ROUND($B57/$C57,2),$B57-SUM(K57:O57))</f>
        <v>0</v>
      </c>
      <c r="Q57" s="262">
        <f>IF($C57&gt;5,ROUND($B57/$C57,2),$B57-SUM(K57:P57))</f>
        <v>0</v>
      </c>
      <c r="R57" s="256"/>
    </row>
    <row r="58" spans="1:20" x14ac:dyDescent="0.25">
      <c r="A58" s="260">
        <v>45838</v>
      </c>
      <c r="B58" s="261">
        <f t="shared" si="9"/>
        <v>0</v>
      </c>
      <c r="C58" s="262">
        <f t="shared" si="10"/>
        <v>4.29</v>
      </c>
      <c r="D58" s="237"/>
      <c r="E58" s="264"/>
      <c r="F58" s="264"/>
      <c r="G58" s="264"/>
      <c r="H58" s="264"/>
      <c r="I58" s="264"/>
      <c r="J58" s="264"/>
      <c r="K58" s="262"/>
      <c r="L58" s="262"/>
      <c r="M58" s="262"/>
      <c r="N58" s="262">
        <f>IF($C58&gt;2,ROUND($B58/$C58,2),$B58-SUM(L58:M58))</f>
        <v>0</v>
      </c>
      <c r="O58" s="262">
        <f>IF($C58&gt;2,ROUND($B58/$C58,2),$B58-SUM(L58:N58))</f>
        <v>0</v>
      </c>
      <c r="P58" s="262">
        <f>IF($C58&gt;3,ROUND($B58/$C58,2),$B58-SUM(L58:O58))</f>
        <v>0</v>
      </c>
      <c r="Q58" s="262">
        <f>IF($C58&gt;4,ROUND($B58/$C58,2),$B58-SUM(L58:P58))</f>
        <v>0</v>
      </c>
      <c r="R58" s="351">
        <f>IF($C58&gt;5,ROUND($B58/$C58,2),$B58-SUM(L58:Q58))</f>
        <v>0</v>
      </c>
      <c r="S58" s="237"/>
      <c r="T58" s="237"/>
    </row>
    <row r="59" spans="1:20" x14ac:dyDescent="0.25">
      <c r="A59" s="265"/>
      <c r="B59" s="237"/>
      <c r="C59" s="237"/>
      <c r="D59" s="237"/>
      <c r="E59" s="266"/>
      <c r="F59" s="266"/>
      <c r="G59" s="266"/>
      <c r="H59" s="266"/>
      <c r="I59" s="266"/>
      <c r="J59" s="266"/>
      <c r="K59" s="237"/>
      <c r="L59" s="237"/>
      <c r="M59" s="237"/>
      <c r="N59" s="237"/>
      <c r="O59" s="237"/>
      <c r="P59" s="237"/>
      <c r="Q59" s="237"/>
      <c r="R59" s="256"/>
    </row>
    <row r="60" spans="1:20" x14ac:dyDescent="0.25">
      <c r="A60" s="267" t="s">
        <v>119</v>
      </c>
      <c r="B60" s="237"/>
      <c r="C60" s="237"/>
      <c r="D60" s="268">
        <f t="shared" ref="D60:N60" si="11">SUM(D48:D58)</f>
        <v>0</v>
      </c>
      <c r="E60" s="264">
        <f t="shared" si="11"/>
        <v>-231.61</v>
      </c>
      <c r="F60" s="264">
        <f t="shared" si="11"/>
        <v>-231.61</v>
      </c>
      <c r="G60" s="264">
        <f t="shared" si="11"/>
        <v>-1485.23</v>
      </c>
      <c r="H60" s="264">
        <f t="shared" si="11"/>
        <v>-1485.23</v>
      </c>
      <c r="I60" s="264">
        <f t="shared" si="11"/>
        <v>-2467.6899999999996</v>
      </c>
      <c r="J60" s="264">
        <f t="shared" si="11"/>
        <v>-2379.67</v>
      </c>
      <c r="K60" s="264">
        <f t="shared" si="11"/>
        <v>-2500</v>
      </c>
      <c r="L60" s="264">
        <f t="shared" si="11"/>
        <v>-2111.37</v>
      </c>
      <c r="M60" s="264">
        <f t="shared" si="11"/>
        <v>-1368.19</v>
      </c>
      <c r="N60" s="264">
        <f t="shared" si="11"/>
        <v>-985.32</v>
      </c>
      <c r="O60" s="264">
        <f>SUM(O48:O58)</f>
        <v>-384.25999999999976</v>
      </c>
      <c r="P60" s="264">
        <f>SUM(P48:P58)</f>
        <v>0</v>
      </c>
      <c r="Q60" s="264">
        <f>SUM(Q48:Q58)</f>
        <v>0</v>
      </c>
      <c r="R60" s="352">
        <f>SUM(R48:R58)</f>
        <v>0</v>
      </c>
    </row>
    <row r="61" spans="1:20" x14ac:dyDescent="0.25">
      <c r="A61" s="269"/>
      <c r="B61" s="237"/>
      <c r="C61" s="237"/>
      <c r="D61" s="268"/>
      <c r="E61" s="264"/>
      <c r="F61" s="264"/>
      <c r="G61" s="264"/>
      <c r="H61" s="264"/>
      <c r="I61" s="264"/>
      <c r="J61" s="264"/>
      <c r="K61" s="237"/>
      <c r="L61" s="237"/>
      <c r="M61" s="237"/>
      <c r="N61" s="237"/>
      <c r="O61" s="237"/>
      <c r="P61" s="237"/>
      <c r="Q61" s="237"/>
      <c r="R61" s="256"/>
    </row>
    <row r="62" spans="1:20" x14ac:dyDescent="0.25">
      <c r="A62" s="267" t="s">
        <v>790</v>
      </c>
      <c r="B62" s="344"/>
      <c r="C62" s="237"/>
      <c r="D62" s="268">
        <f>SUM(E48:J48)</f>
        <v>0</v>
      </c>
      <c r="E62" s="264">
        <f>SUM(F48:K49)</f>
        <v>-782.85</v>
      </c>
      <c r="F62" s="264">
        <f>SUM(G48:K50)</f>
        <v>-551.24</v>
      </c>
      <c r="G62" s="264">
        <f>SUM(H48:K51)</f>
        <v>-4469.12</v>
      </c>
      <c r="H62" s="264">
        <f>SUM(I48:L52)</f>
        <v>-2983.89</v>
      </c>
      <c r="I62" s="264">
        <f>SUM(J48:M53)</f>
        <v>-5403.27</v>
      </c>
      <c r="J62" s="264">
        <f>SUM(K48:N54)</f>
        <v>-3023.6</v>
      </c>
      <c r="K62" s="264">
        <f>SUM(L48:O55)</f>
        <v>-4849.1399999999994</v>
      </c>
      <c r="L62" s="264">
        <f>SUM(M48:P56)</f>
        <v>-2737.77</v>
      </c>
      <c r="M62" s="264">
        <f>SUM(N48:Q57)</f>
        <v>-1369.58</v>
      </c>
      <c r="N62" s="264">
        <f>SUM(O48:R58)</f>
        <v>-384.25999999999976</v>
      </c>
      <c r="O62" s="264">
        <f>SUM(P48:S59)</f>
        <v>0</v>
      </c>
      <c r="P62" s="264">
        <f>SUM(Q48:T59)</f>
        <v>0</v>
      </c>
      <c r="Q62" s="264">
        <f t="shared" ref="Q62:R62" si="12">SUM(R48:U59)</f>
        <v>0</v>
      </c>
      <c r="R62" s="352">
        <f t="shared" si="12"/>
        <v>0</v>
      </c>
    </row>
    <row r="63" spans="1:20" ht="14.4" thickBot="1" x14ac:dyDescent="0.3">
      <c r="A63" s="270"/>
      <c r="B63" s="271"/>
      <c r="C63" s="271"/>
      <c r="D63" s="272"/>
      <c r="E63" s="273"/>
      <c r="F63" s="273"/>
      <c r="G63" s="273"/>
      <c r="H63" s="273"/>
      <c r="I63" s="273"/>
      <c r="J63" s="273"/>
      <c r="K63" s="271"/>
      <c r="L63" s="271"/>
      <c r="M63" s="271"/>
      <c r="N63" s="271"/>
      <c r="O63" s="271"/>
      <c r="P63" s="271"/>
      <c r="Q63" s="271"/>
      <c r="R63" s="274"/>
    </row>
    <row r="64" spans="1:20" x14ac:dyDescent="0.25">
      <c r="A64" s="99"/>
      <c r="D64" s="100"/>
      <c r="E64" s="239"/>
      <c r="F64" s="239"/>
      <c r="G64" s="239"/>
      <c r="H64" s="239"/>
      <c r="I64" s="239"/>
      <c r="J64" s="239"/>
      <c r="Q64" s="237"/>
      <c r="R64" s="237"/>
    </row>
  </sheetData>
  <mergeCells count="3">
    <mergeCell ref="D24:P24"/>
    <mergeCell ref="D45:P45"/>
    <mergeCell ref="D8:R8"/>
  </mergeCells>
  <pageMargins left="0.7" right="0.7" top="0.75" bottom="0.75" header="0.3" footer="0.3"/>
  <pageSetup scale="52" orientation="landscape" r:id="rId1"/>
  <headerFooter>
    <oddHeader>&amp;C&amp;A</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33"/>
  <sheetViews>
    <sheetView topLeftCell="A9" zoomScaleNormal="100" workbookViewId="0">
      <selection activeCell="E25" sqref="E25"/>
    </sheetView>
  </sheetViews>
  <sheetFormatPr defaultColWidth="9.109375" defaultRowHeight="13.8" x14ac:dyDescent="0.25"/>
  <cols>
    <col min="1" max="1" width="96.109375" style="103" customWidth="1"/>
    <col min="2" max="16384" width="9.109375" style="103"/>
  </cols>
  <sheetData>
    <row r="1" spans="1:21" ht="15.6" x14ac:dyDescent="0.3">
      <c r="A1" s="339" t="s">
        <v>917</v>
      </c>
      <c r="B1" s="303"/>
      <c r="C1" s="303"/>
      <c r="D1" s="303"/>
      <c r="E1" s="303"/>
      <c r="F1" s="303"/>
      <c r="G1" s="303"/>
      <c r="H1" s="303"/>
      <c r="I1" s="303"/>
      <c r="J1" s="303"/>
      <c r="K1" s="303"/>
      <c r="L1" s="303"/>
      <c r="M1" s="303"/>
      <c r="N1" s="303"/>
      <c r="O1" s="303"/>
      <c r="P1" s="303"/>
      <c r="Q1" s="303"/>
      <c r="R1" s="303"/>
      <c r="S1" s="303"/>
      <c r="T1" s="303"/>
      <c r="U1" s="303"/>
    </row>
    <row r="2" spans="1:21" ht="15.6" x14ac:dyDescent="0.3">
      <c r="A2" s="339" t="s">
        <v>918</v>
      </c>
    </row>
    <row r="3" spans="1:21" ht="15.6" x14ac:dyDescent="0.25">
      <c r="A3" s="139" t="s">
        <v>743</v>
      </c>
    </row>
    <row r="4" spans="1:21" ht="15" x14ac:dyDescent="0.25">
      <c r="A4" s="140" t="s">
        <v>298</v>
      </c>
    </row>
    <row r="5" spans="1:21" ht="15" x14ac:dyDescent="0.25">
      <c r="A5" s="3" t="s">
        <v>834</v>
      </c>
    </row>
    <row r="7" spans="1:21" x14ac:dyDescent="0.25">
      <c r="A7" s="316" t="s">
        <v>841</v>
      </c>
    </row>
    <row r="8" spans="1:21" ht="6.6" customHeight="1" x14ac:dyDescent="0.25"/>
    <row r="9" spans="1:21" ht="41.4" x14ac:dyDescent="0.25">
      <c r="A9" s="325" t="s">
        <v>940</v>
      </c>
    </row>
    <row r="10" spans="1:21" ht="6.75" customHeight="1" x14ac:dyDescent="0.25"/>
    <row r="11" spans="1:21" x14ac:dyDescent="0.25">
      <c r="A11" s="103" t="s">
        <v>886</v>
      </c>
    </row>
    <row r="12" spans="1:21" ht="16.8" customHeight="1" x14ac:dyDescent="0.25"/>
    <row r="13" spans="1:21" x14ac:dyDescent="0.25">
      <c r="A13" s="318" t="s">
        <v>842</v>
      </c>
    </row>
    <row r="14" spans="1:21" ht="8.25" customHeight="1" x14ac:dyDescent="0.25">
      <c r="A14" s="141"/>
    </row>
    <row r="15" spans="1:21" x14ac:dyDescent="0.25">
      <c r="A15" s="317" t="s">
        <v>941</v>
      </c>
    </row>
    <row r="16" spans="1:21" ht="16.8" customHeight="1" x14ac:dyDescent="0.25">
      <c r="A16" s="317"/>
    </row>
    <row r="17" spans="1:1" x14ac:dyDescent="0.25">
      <c r="A17" s="318" t="s">
        <v>844</v>
      </c>
    </row>
    <row r="18" spans="1:1" ht="4.2" customHeight="1" x14ac:dyDescent="0.25">
      <c r="A18" s="318"/>
    </row>
    <row r="19" spans="1:1" ht="19.8" customHeight="1" x14ac:dyDescent="0.25">
      <c r="A19" s="103" t="s">
        <v>883</v>
      </c>
    </row>
    <row r="20" spans="1:1" ht="19.2" customHeight="1" x14ac:dyDescent="0.25"/>
    <row r="21" spans="1:1" x14ac:dyDescent="0.25">
      <c r="A21" s="318" t="s">
        <v>843</v>
      </c>
    </row>
    <row r="22" spans="1:1" ht="9" customHeight="1" x14ac:dyDescent="0.25">
      <c r="A22" s="306"/>
    </row>
    <row r="23" spans="1:1" ht="69" x14ac:dyDescent="0.25">
      <c r="A23" s="306" t="s">
        <v>884</v>
      </c>
    </row>
    <row r="24" spans="1:1" ht="6.75" customHeight="1" x14ac:dyDescent="0.25">
      <c r="A24" s="317"/>
    </row>
    <row r="25" spans="1:1" ht="69" x14ac:dyDescent="0.25">
      <c r="A25" s="306" t="s">
        <v>942</v>
      </c>
    </row>
    <row r="26" spans="1:1" ht="8.25" customHeight="1" x14ac:dyDescent="0.25">
      <c r="A26" s="317"/>
    </row>
    <row r="27" spans="1:1" ht="57" customHeight="1" x14ac:dyDescent="0.25">
      <c r="A27" s="306" t="s">
        <v>943</v>
      </c>
    </row>
    <row r="28" spans="1:1" ht="9" customHeight="1" x14ac:dyDescent="0.25">
      <c r="A28" s="317"/>
    </row>
    <row r="29" spans="1:1" ht="55.2" x14ac:dyDescent="0.25">
      <c r="A29" s="306" t="s">
        <v>885</v>
      </c>
    </row>
    <row r="30" spans="1:1" x14ac:dyDescent="0.25">
      <c r="A30" s="317"/>
    </row>
    <row r="31" spans="1:1" x14ac:dyDescent="0.25">
      <c r="A31" s="306"/>
    </row>
    <row r="32" spans="1:1" ht="151.80000000000001" x14ac:dyDescent="0.25">
      <c r="A32" s="142" t="s">
        <v>837</v>
      </c>
    </row>
    <row r="33" spans="1:1" x14ac:dyDescent="0.25">
      <c r="A33" s="143"/>
    </row>
  </sheetData>
  <pageMargins left="0.7" right="0.7" top="0.75" bottom="0.75" header="0.3" footer="0.3"/>
  <pageSetup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0"/>
  <sheetViews>
    <sheetView topLeftCell="A7" zoomScaleNormal="100" workbookViewId="0">
      <pane xSplit="1" topLeftCell="O1" activePane="topRight" state="frozen"/>
      <selection pane="topRight" activeCell="R25" sqref="R25"/>
    </sheetView>
  </sheetViews>
  <sheetFormatPr defaultRowHeight="14.4" x14ac:dyDescent="0.3"/>
  <cols>
    <col min="1" max="1" width="27.44140625" customWidth="1"/>
    <col min="2" max="2" width="18.5546875" style="288" customWidth="1"/>
    <col min="3" max="3" width="17.6640625" style="288" customWidth="1"/>
    <col min="4" max="4" width="18.5546875" customWidth="1"/>
    <col min="5" max="6" width="17.6640625" customWidth="1"/>
    <col min="7" max="7" width="14.5546875" customWidth="1"/>
    <col min="8" max="8" width="18.5546875" customWidth="1"/>
    <col min="9" max="9" width="14.44140625" customWidth="1"/>
    <col min="10" max="10" width="18.44140625" customWidth="1"/>
    <col min="11" max="11" width="15.44140625" customWidth="1"/>
    <col min="12" max="12" width="18.44140625" style="315" customWidth="1"/>
    <col min="13" max="13" width="15" style="315" customWidth="1"/>
    <col min="14" max="14" width="18.44140625" style="324" customWidth="1"/>
    <col min="15" max="15" width="13.6640625" style="324" customWidth="1"/>
    <col min="16" max="16" width="18.44140625" style="333" customWidth="1"/>
    <col min="17" max="17" width="15.109375" style="333" customWidth="1"/>
    <col min="18" max="18" width="18.44140625" style="338" customWidth="1"/>
    <col min="19" max="19" width="14.21875" style="338" customWidth="1"/>
    <col min="20" max="20" width="18.44140625" style="346" customWidth="1"/>
    <col min="21" max="21" width="16.6640625" style="346" customWidth="1"/>
    <col min="22" max="22" width="18.44140625" style="309" customWidth="1"/>
    <col min="23" max="23" width="13.109375" style="309" customWidth="1"/>
  </cols>
  <sheetData>
    <row r="1" spans="1:23" s="61" customFormat="1" x14ac:dyDescent="0.3">
      <c r="A1" s="290" t="s">
        <v>772</v>
      </c>
      <c r="B1" s="291"/>
      <c r="C1" s="192"/>
      <c r="D1" s="296"/>
      <c r="L1" s="315"/>
      <c r="M1" s="315"/>
      <c r="N1" s="324"/>
      <c r="O1" s="324"/>
      <c r="P1" s="333"/>
      <c r="Q1" s="333"/>
      <c r="R1" s="338"/>
      <c r="S1" s="338"/>
      <c r="T1" s="346"/>
      <c r="U1" s="346"/>
      <c r="V1" s="309"/>
      <c r="W1" s="309"/>
    </row>
    <row r="2" spans="1:23" s="61" customFormat="1" x14ac:dyDescent="0.3">
      <c r="A2" s="292" t="s">
        <v>773</v>
      </c>
      <c r="B2" s="293"/>
      <c r="C2" s="192"/>
      <c r="D2" s="297"/>
      <c r="L2" s="315"/>
      <c r="M2" s="315"/>
      <c r="N2" s="324"/>
      <c r="O2" s="324"/>
      <c r="P2" s="333"/>
      <c r="Q2" s="333"/>
      <c r="R2" s="338"/>
      <c r="S2" s="338"/>
      <c r="T2" s="346"/>
      <c r="U2" s="346"/>
      <c r="V2" s="309"/>
      <c r="W2" s="309"/>
    </row>
    <row r="3" spans="1:23" s="61" customFormat="1" ht="15" thickBot="1" x14ac:dyDescent="0.35">
      <c r="A3" s="294"/>
      <c r="B3" s="295"/>
      <c r="C3" s="298"/>
      <c r="D3" s="298"/>
      <c r="L3" s="315"/>
      <c r="M3" s="315"/>
      <c r="N3" s="324"/>
      <c r="O3" s="324"/>
      <c r="P3" s="333"/>
      <c r="Q3" s="333"/>
      <c r="R3" s="338"/>
      <c r="S3" s="338"/>
      <c r="T3" s="346"/>
      <c r="U3" s="346"/>
      <c r="V3" s="309"/>
      <c r="W3" s="309"/>
    </row>
    <row r="4" spans="1:23" s="61" customFormat="1" ht="9.75" customHeight="1" x14ac:dyDescent="0.3">
      <c r="B4" s="288"/>
      <c r="C4" s="288"/>
      <c r="L4" s="315"/>
      <c r="M4" s="315"/>
      <c r="N4" s="324"/>
      <c r="O4" s="324"/>
      <c r="P4" s="333"/>
      <c r="Q4" s="333"/>
      <c r="R4" s="338"/>
      <c r="S4" s="338"/>
      <c r="T4" s="346"/>
      <c r="U4" s="346"/>
      <c r="V4" s="309"/>
      <c r="W4" s="309"/>
    </row>
    <row r="5" spans="1:23" x14ac:dyDescent="0.3">
      <c r="A5" s="62" t="s">
        <v>116</v>
      </c>
    </row>
    <row r="6" spans="1:23" s="63" customFormat="1" x14ac:dyDescent="0.3">
      <c r="A6" s="164" t="s">
        <v>149</v>
      </c>
    </row>
    <row r="7" spans="1:23" ht="28.8" x14ac:dyDescent="0.3">
      <c r="A7" t="s">
        <v>94</v>
      </c>
      <c r="B7" s="56" t="s">
        <v>95</v>
      </c>
      <c r="C7" s="56" t="s">
        <v>96</v>
      </c>
      <c r="D7" s="56" t="s">
        <v>97</v>
      </c>
      <c r="E7" s="56" t="s">
        <v>98</v>
      </c>
      <c r="F7" s="56" t="s">
        <v>99</v>
      </c>
      <c r="G7" s="56" t="s">
        <v>100</v>
      </c>
      <c r="H7" s="56" t="s">
        <v>810</v>
      </c>
      <c r="I7" s="56" t="s">
        <v>809</v>
      </c>
      <c r="J7" s="56" t="s">
        <v>838</v>
      </c>
      <c r="K7" s="56" t="s">
        <v>839</v>
      </c>
      <c r="L7" s="56" t="s">
        <v>846</v>
      </c>
      <c r="M7" s="56" t="s">
        <v>847</v>
      </c>
      <c r="N7" s="56" t="s">
        <v>850</v>
      </c>
      <c r="O7" s="56" t="s">
        <v>851</v>
      </c>
      <c r="P7" s="56" t="s">
        <v>852</v>
      </c>
      <c r="Q7" s="56" t="s">
        <v>853</v>
      </c>
      <c r="R7" s="56" t="s">
        <v>881</v>
      </c>
      <c r="S7" s="56" t="s">
        <v>882</v>
      </c>
      <c r="T7" s="56" t="s">
        <v>894</v>
      </c>
      <c r="U7" s="56" t="s">
        <v>895</v>
      </c>
      <c r="V7" s="56" t="s">
        <v>925</v>
      </c>
      <c r="W7" s="56" t="s">
        <v>926</v>
      </c>
    </row>
    <row r="9" spans="1:23" x14ac:dyDescent="0.3">
      <c r="A9" t="s">
        <v>101</v>
      </c>
      <c r="B9" s="65">
        <v>3616.58</v>
      </c>
      <c r="C9" s="65">
        <v>60276.33</v>
      </c>
      <c r="D9" s="65">
        <v>3786.75</v>
      </c>
      <c r="E9" s="65">
        <v>63112.5</v>
      </c>
      <c r="F9" s="65">
        <v>3704.08</v>
      </c>
      <c r="G9" s="65">
        <v>61734.67</v>
      </c>
      <c r="H9" s="65">
        <v>3872</v>
      </c>
      <c r="I9" s="65">
        <v>64533.33</v>
      </c>
      <c r="J9" s="65">
        <v>3703.25</v>
      </c>
      <c r="K9" s="65">
        <v>61720.83</v>
      </c>
      <c r="L9" s="65">
        <v>4087.67</v>
      </c>
      <c r="M9" s="65">
        <v>68127.839999999997</v>
      </c>
      <c r="N9" s="65">
        <v>4457.67</v>
      </c>
      <c r="O9" s="65">
        <v>74294.5</v>
      </c>
      <c r="P9" s="65">
        <v>4956</v>
      </c>
      <c r="Q9" s="65">
        <v>82600</v>
      </c>
      <c r="R9" s="65">
        <v>5039.83</v>
      </c>
      <c r="S9" s="65">
        <v>83997.17</v>
      </c>
      <c r="T9" s="65">
        <v>4605.17</v>
      </c>
      <c r="U9" s="65">
        <v>76752.83</v>
      </c>
      <c r="V9" s="65">
        <v>4539.75</v>
      </c>
      <c r="W9" s="65">
        <v>75662.5</v>
      </c>
    </row>
    <row r="10" spans="1:23" x14ac:dyDescent="0.3">
      <c r="A10" t="s">
        <v>102</v>
      </c>
      <c r="B10" s="65">
        <v>3616.58</v>
      </c>
      <c r="C10" s="65">
        <v>60276.33</v>
      </c>
      <c r="D10" s="65">
        <v>3786.75</v>
      </c>
      <c r="E10" s="65">
        <v>63112.5</v>
      </c>
      <c r="F10" s="65">
        <v>3704.08</v>
      </c>
      <c r="G10" s="65">
        <v>61734.67</v>
      </c>
      <c r="H10" s="65">
        <v>3872</v>
      </c>
      <c r="I10" s="65">
        <v>64533.33</v>
      </c>
      <c r="J10" s="65">
        <v>3703.25</v>
      </c>
      <c r="K10" s="65">
        <v>61720.83</v>
      </c>
      <c r="L10" s="65">
        <v>4087.67</v>
      </c>
      <c r="M10" s="65">
        <v>68127.839999999997</v>
      </c>
      <c r="N10" s="65">
        <v>4457.67</v>
      </c>
      <c r="O10" s="65">
        <v>74294.5</v>
      </c>
      <c r="P10" s="65">
        <v>4956</v>
      </c>
      <c r="Q10" s="65">
        <v>82600</v>
      </c>
      <c r="R10" s="65">
        <v>5039.83</v>
      </c>
      <c r="S10" s="65">
        <v>83997.17</v>
      </c>
      <c r="T10" s="65">
        <v>4605.17</v>
      </c>
      <c r="U10" s="65">
        <v>76752.83</v>
      </c>
      <c r="V10" s="65">
        <v>4539.75</v>
      </c>
      <c r="W10" s="65">
        <v>75662.5</v>
      </c>
    </row>
    <row r="11" spans="1:23" x14ac:dyDescent="0.3">
      <c r="A11" t="s">
        <v>103</v>
      </c>
      <c r="B11" s="65">
        <v>3616.59</v>
      </c>
      <c r="C11" s="65">
        <v>60276.5</v>
      </c>
      <c r="D11" s="65">
        <v>3786.75</v>
      </c>
      <c r="E11" s="65">
        <v>63112.5</v>
      </c>
      <c r="F11" s="65">
        <v>3704.09</v>
      </c>
      <c r="G11" s="65">
        <v>61734.83</v>
      </c>
      <c r="H11" s="65">
        <v>3872</v>
      </c>
      <c r="I11" s="65">
        <v>64533.33</v>
      </c>
      <c r="J11" s="65">
        <v>3703.25</v>
      </c>
      <c r="K11" s="65">
        <v>61720.83</v>
      </c>
      <c r="L11" s="65">
        <v>4087.66</v>
      </c>
      <c r="M11" s="65">
        <v>68127.67</v>
      </c>
      <c r="N11" s="65">
        <v>4457.66</v>
      </c>
      <c r="O11" s="65">
        <v>74294.34</v>
      </c>
      <c r="P11" s="65">
        <v>4956</v>
      </c>
      <c r="Q11" s="65">
        <v>82600</v>
      </c>
      <c r="R11" s="65">
        <v>5039.83</v>
      </c>
      <c r="S11" s="65">
        <v>83997.17</v>
      </c>
      <c r="T11" s="65">
        <v>4605.17</v>
      </c>
      <c r="U11" s="65">
        <v>76752.83</v>
      </c>
      <c r="V11" s="65">
        <v>4539.75</v>
      </c>
      <c r="W11" s="65">
        <v>75662.5</v>
      </c>
    </row>
    <row r="12" spans="1:23" x14ac:dyDescent="0.3">
      <c r="A12" t="s">
        <v>104</v>
      </c>
      <c r="B12" s="65">
        <v>3616.59</v>
      </c>
      <c r="C12" s="65">
        <v>60276.5</v>
      </c>
      <c r="D12" s="65">
        <v>3786.75</v>
      </c>
      <c r="E12" s="65">
        <v>63112.5</v>
      </c>
      <c r="F12" s="65">
        <v>3704.09</v>
      </c>
      <c r="G12" s="65">
        <v>61734.83</v>
      </c>
      <c r="H12" s="65">
        <v>3872</v>
      </c>
      <c r="I12" s="65">
        <v>64533.33</v>
      </c>
      <c r="J12" s="65">
        <v>3703.25</v>
      </c>
      <c r="K12" s="65">
        <v>61720.83</v>
      </c>
      <c r="L12" s="65">
        <v>4087.66</v>
      </c>
      <c r="M12" s="65">
        <v>68127.67</v>
      </c>
      <c r="N12" s="65">
        <v>4457.66</v>
      </c>
      <c r="O12" s="65">
        <v>74294.34</v>
      </c>
      <c r="P12" s="65">
        <v>4956</v>
      </c>
      <c r="Q12" s="65">
        <v>82600</v>
      </c>
      <c r="R12" s="65">
        <v>5039.83</v>
      </c>
      <c r="S12" s="65">
        <v>83997.17</v>
      </c>
      <c r="T12" s="65">
        <v>4605.17</v>
      </c>
      <c r="U12" s="65">
        <v>76752.83</v>
      </c>
      <c r="V12" s="65">
        <v>4539.75</v>
      </c>
      <c r="W12" s="65">
        <v>75662.5</v>
      </c>
    </row>
    <row r="13" spans="1:23" x14ac:dyDescent="0.3">
      <c r="A13" t="s">
        <v>105</v>
      </c>
      <c r="B13" s="65">
        <v>3616.59</v>
      </c>
      <c r="C13" s="65">
        <v>60276.5</v>
      </c>
      <c r="D13" s="65">
        <v>3786.75</v>
      </c>
      <c r="E13" s="65">
        <v>63112.5</v>
      </c>
      <c r="F13" s="65">
        <v>3704.09</v>
      </c>
      <c r="G13" s="65">
        <v>61734.83</v>
      </c>
      <c r="H13" s="65">
        <v>3872</v>
      </c>
      <c r="I13" s="65">
        <v>64533.33</v>
      </c>
      <c r="J13" s="65">
        <v>3703.25</v>
      </c>
      <c r="K13" s="65">
        <v>61720.83</v>
      </c>
      <c r="L13" s="65">
        <v>4087.66</v>
      </c>
      <c r="M13" s="65">
        <v>68127.67</v>
      </c>
      <c r="N13" s="65">
        <v>4457.66</v>
      </c>
      <c r="O13" s="65">
        <v>74294.34</v>
      </c>
      <c r="P13" s="65">
        <v>4956</v>
      </c>
      <c r="Q13" s="65">
        <v>82600</v>
      </c>
      <c r="R13" s="65">
        <v>5039.83</v>
      </c>
      <c r="S13" s="65">
        <v>83997.17</v>
      </c>
      <c r="T13" s="65">
        <v>4605.17</v>
      </c>
      <c r="U13" s="65">
        <v>76752.83</v>
      </c>
      <c r="V13" s="65">
        <v>4539.75</v>
      </c>
      <c r="W13" s="65">
        <v>75662.5</v>
      </c>
    </row>
    <row r="14" spans="1:23" x14ac:dyDescent="0.3">
      <c r="A14" t="s">
        <v>106</v>
      </c>
      <c r="B14" s="65">
        <v>3616.59</v>
      </c>
      <c r="C14" s="65">
        <v>60276.5</v>
      </c>
      <c r="D14" s="65">
        <v>3786.75</v>
      </c>
      <c r="E14" s="65">
        <v>63112.5</v>
      </c>
      <c r="F14" s="65">
        <v>3704.09</v>
      </c>
      <c r="G14" s="65">
        <v>61734.83</v>
      </c>
      <c r="H14" s="65">
        <v>3872</v>
      </c>
      <c r="I14" s="65">
        <v>64533.33</v>
      </c>
      <c r="J14" s="65">
        <v>3703.25</v>
      </c>
      <c r="K14" s="65">
        <v>61720.83</v>
      </c>
      <c r="L14" s="65">
        <v>4087.66</v>
      </c>
      <c r="M14" s="65">
        <v>68127.67</v>
      </c>
      <c r="N14" s="65">
        <v>4457.66</v>
      </c>
      <c r="O14" s="65">
        <v>74294.34</v>
      </c>
      <c r="P14" s="65">
        <v>4956</v>
      </c>
      <c r="Q14" s="65">
        <v>82600</v>
      </c>
      <c r="R14" s="65">
        <v>5039.87</v>
      </c>
      <c r="S14" s="65">
        <v>83997.83</v>
      </c>
      <c r="T14" s="65">
        <f>4605.17-0.04</f>
        <v>4605.13</v>
      </c>
      <c r="U14" s="65">
        <v>76752.17</v>
      </c>
      <c r="V14" s="65">
        <v>4539.75</v>
      </c>
      <c r="W14" s="65">
        <v>75662.5</v>
      </c>
    </row>
    <row r="15" spans="1:23" x14ac:dyDescent="0.3">
      <c r="A15" s="58" t="s">
        <v>107</v>
      </c>
      <c r="B15" s="240">
        <f t="shared" ref="B15:C15" si="0">SUM(B9:B14)</f>
        <v>21699.52</v>
      </c>
      <c r="C15" s="240">
        <f t="shared" si="0"/>
        <v>361658.66000000003</v>
      </c>
      <c r="D15" s="240">
        <f t="shared" ref="D15:K15" si="1">SUM(D9:D14)</f>
        <v>22720.5</v>
      </c>
      <c r="E15" s="240">
        <f t="shared" si="1"/>
        <v>378675</v>
      </c>
      <c r="F15" s="240">
        <f t="shared" si="1"/>
        <v>22224.52</v>
      </c>
      <c r="G15" s="240">
        <f t="shared" si="1"/>
        <v>370408.66000000003</v>
      </c>
      <c r="H15" s="240">
        <f t="shared" si="1"/>
        <v>23232</v>
      </c>
      <c r="I15" s="240">
        <f t="shared" si="1"/>
        <v>387199.98000000004</v>
      </c>
      <c r="J15" s="240">
        <f>SUM(J9:J14)</f>
        <v>22219.5</v>
      </c>
      <c r="K15" s="240">
        <f t="shared" si="1"/>
        <v>370324.98000000004</v>
      </c>
      <c r="L15" s="240">
        <f>SUM(L9:L14)</f>
        <v>24525.98</v>
      </c>
      <c r="M15" s="240">
        <f t="shared" ref="M15:W15" si="2">SUM(M9:M14)</f>
        <v>408766.35999999993</v>
      </c>
      <c r="N15" s="240">
        <f>SUM(N9:N14)</f>
        <v>26745.98</v>
      </c>
      <c r="O15" s="240">
        <f t="shared" ref="O15" si="3">SUM(O9:O14)</f>
        <v>445766.36</v>
      </c>
      <c r="P15" s="240">
        <f>SUM(P9:P14)</f>
        <v>29736</v>
      </c>
      <c r="Q15" s="240">
        <f t="shared" ref="Q15" si="4">SUM(Q9:Q14)</f>
        <v>495600</v>
      </c>
      <c r="R15" s="240">
        <f>SUM(R9:R14)</f>
        <v>30239.02</v>
      </c>
      <c r="S15" s="240">
        <f t="shared" ref="S15" si="5">SUM(S9:S14)</f>
        <v>503983.68</v>
      </c>
      <c r="T15" s="240">
        <f>SUM(T9:T14)</f>
        <v>27630.98</v>
      </c>
      <c r="U15" s="240">
        <f t="shared" ref="U15" si="6">SUM(U9:U14)</f>
        <v>460516.32</v>
      </c>
      <c r="V15" s="240">
        <f>SUM(V9:V14)</f>
        <v>27238.5</v>
      </c>
      <c r="W15" s="240">
        <f t="shared" si="2"/>
        <v>453975</v>
      </c>
    </row>
    <row r="16" spans="1:23" x14ac:dyDescent="0.3">
      <c r="B16" s="57"/>
      <c r="C16" s="57"/>
      <c r="D16" s="57"/>
      <c r="E16" s="57"/>
      <c r="F16" s="57"/>
      <c r="G16" s="57"/>
      <c r="H16" s="57"/>
      <c r="I16" s="57"/>
      <c r="J16" s="57"/>
      <c r="K16" s="57"/>
      <c r="L16" s="57"/>
      <c r="M16" s="57"/>
      <c r="N16" s="57"/>
      <c r="O16" s="57"/>
      <c r="P16" s="57"/>
      <c r="Q16" s="57"/>
      <c r="R16" s="57"/>
      <c r="S16" s="57"/>
      <c r="T16" s="57"/>
      <c r="U16" s="57"/>
      <c r="V16" s="57"/>
      <c r="W16" s="57"/>
    </row>
    <row r="17" spans="1:23" x14ac:dyDescent="0.3">
      <c r="A17" t="s">
        <v>108</v>
      </c>
      <c r="B17" s="65">
        <v>3786.75</v>
      </c>
      <c r="C17" s="65">
        <v>63112.5</v>
      </c>
      <c r="D17" s="65">
        <v>3704.08</v>
      </c>
      <c r="E17" s="65">
        <v>61734.67</v>
      </c>
      <c r="F17" s="65">
        <v>3872</v>
      </c>
      <c r="G17" s="65">
        <v>64533.33</v>
      </c>
      <c r="H17" s="65">
        <v>3703.25</v>
      </c>
      <c r="I17" s="65">
        <v>61720.83</v>
      </c>
      <c r="J17" s="65">
        <v>4087.67</v>
      </c>
      <c r="K17" s="65">
        <v>68127.839999999997</v>
      </c>
      <c r="L17" s="65">
        <v>4457.67</v>
      </c>
      <c r="M17" s="65">
        <v>74294.5</v>
      </c>
      <c r="N17" s="65">
        <v>4956</v>
      </c>
      <c r="O17" s="65">
        <v>82600</v>
      </c>
      <c r="P17" s="65">
        <v>5039.83</v>
      </c>
      <c r="Q17" s="65">
        <v>83997.17</v>
      </c>
      <c r="R17" s="65">
        <v>4605.17</v>
      </c>
      <c r="S17" s="65">
        <v>76752.83</v>
      </c>
      <c r="T17" s="65">
        <v>4539.75</v>
      </c>
      <c r="U17" s="65">
        <v>75662.5</v>
      </c>
      <c r="V17" s="65">
        <v>4630.54</v>
      </c>
      <c r="W17" s="65">
        <v>77175.66</v>
      </c>
    </row>
    <row r="18" spans="1:23" x14ac:dyDescent="0.3">
      <c r="A18" t="s">
        <v>109</v>
      </c>
      <c r="B18" s="65">
        <v>3786.75</v>
      </c>
      <c r="C18" s="65">
        <v>63112.5</v>
      </c>
      <c r="D18" s="65">
        <v>3704.08</v>
      </c>
      <c r="E18" s="65">
        <v>61734.67</v>
      </c>
      <c r="F18" s="65">
        <v>3872</v>
      </c>
      <c r="G18" s="65">
        <v>64533.33</v>
      </c>
      <c r="H18" s="65">
        <v>3703.25</v>
      </c>
      <c r="I18" s="65">
        <v>61720.83</v>
      </c>
      <c r="J18" s="65">
        <v>4087.67</v>
      </c>
      <c r="K18" s="65">
        <v>68127.839999999997</v>
      </c>
      <c r="L18" s="65">
        <v>4457.67</v>
      </c>
      <c r="M18" s="65">
        <v>74294.5</v>
      </c>
      <c r="N18" s="65">
        <v>4956</v>
      </c>
      <c r="O18" s="65">
        <v>82600</v>
      </c>
      <c r="P18" s="65">
        <v>5039.83</v>
      </c>
      <c r="Q18" s="65">
        <v>83997.17</v>
      </c>
      <c r="R18" s="65">
        <v>4605.17</v>
      </c>
      <c r="S18" s="65">
        <v>76752.83</v>
      </c>
      <c r="T18" s="65">
        <v>4539.75</v>
      </c>
      <c r="U18" s="65">
        <v>75662.5</v>
      </c>
      <c r="V18" s="65">
        <v>4630.54</v>
      </c>
      <c r="W18" s="65">
        <v>77175.66</v>
      </c>
    </row>
    <row r="19" spans="1:23" x14ac:dyDescent="0.3">
      <c r="A19" t="s">
        <v>110</v>
      </c>
      <c r="B19" s="65">
        <v>3786.75</v>
      </c>
      <c r="C19" s="65">
        <v>63112.5</v>
      </c>
      <c r="D19" s="65">
        <v>3704.08</v>
      </c>
      <c r="E19" s="65">
        <v>61734.67</v>
      </c>
      <c r="F19" s="65">
        <v>3872</v>
      </c>
      <c r="G19" s="65">
        <v>64533.33</v>
      </c>
      <c r="H19" s="65">
        <v>3703.25</v>
      </c>
      <c r="I19" s="65">
        <v>61720.83</v>
      </c>
      <c r="J19" s="65">
        <v>4087.67</v>
      </c>
      <c r="K19" s="65">
        <v>68127.839999999997</v>
      </c>
      <c r="L19" s="65">
        <v>4457.67</v>
      </c>
      <c r="M19" s="65">
        <v>74294.5</v>
      </c>
      <c r="N19" s="65">
        <v>4956</v>
      </c>
      <c r="O19" s="65">
        <v>82600</v>
      </c>
      <c r="P19" s="65">
        <v>5039.83</v>
      </c>
      <c r="Q19" s="65">
        <v>83997.17</v>
      </c>
      <c r="R19" s="65">
        <v>4605.17</v>
      </c>
      <c r="S19" s="65">
        <v>76752.83</v>
      </c>
      <c r="T19" s="65">
        <v>4539.75</v>
      </c>
      <c r="U19" s="65">
        <v>75662.5</v>
      </c>
      <c r="V19" s="65">
        <v>4630.54</v>
      </c>
      <c r="W19" s="65">
        <v>77175.66</v>
      </c>
    </row>
    <row r="20" spans="1:23" x14ac:dyDescent="0.3">
      <c r="A20" t="s">
        <v>111</v>
      </c>
      <c r="B20" s="65">
        <v>3786.75</v>
      </c>
      <c r="C20" s="65">
        <v>63112.5</v>
      </c>
      <c r="D20" s="65">
        <v>3704.08</v>
      </c>
      <c r="E20" s="65">
        <v>61734.67</v>
      </c>
      <c r="F20" s="65">
        <v>3872</v>
      </c>
      <c r="G20" s="65">
        <v>64533.33</v>
      </c>
      <c r="H20" s="65">
        <v>3703.25</v>
      </c>
      <c r="I20" s="65">
        <v>61720.83</v>
      </c>
      <c r="J20" s="65">
        <v>4087.67</v>
      </c>
      <c r="K20" s="65">
        <v>68127.839999999997</v>
      </c>
      <c r="L20" s="65">
        <v>4457.67</v>
      </c>
      <c r="M20" s="65">
        <v>74294.5</v>
      </c>
      <c r="N20" s="65">
        <v>4956</v>
      </c>
      <c r="O20" s="65">
        <v>82600</v>
      </c>
      <c r="P20" s="65">
        <v>5039.83</v>
      </c>
      <c r="Q20" s="65">
        <v>83997.17</v>
      </c>
      <c r="R20" s="65">
        <v>4605.17</v>
      </c>
      <c r="S20" s="65">
        <v>76752.83</v>
      </c>
      <c r="T20" s="65">
        <v>4539.75</v>
      </c>
      <c r="U20" s="65">
        <v>75662.5</v>
      </c>
      <c r="V20" s="65">
        <v>4630.54</v>
      </c>
      <c r="W20" s="65">
        <v>77175.66</v>
      </c>
    </row>
    <row r="21" spans="1:23" x14ac:dyDescent="0.3">
      <c r="A21" t="s">
        <v>112</v>
      </c>
      <c r="B21" s="65">
        <v>3786.75</v>
      </c>
      <c r="C21" s="65">
        <v>63112.5</v>
      </c>
      <c r="D21" s="65">
        <v>3704.08</v>
      </c>
      <c r="E21" s="65">
        <v>61734.67</v>
      </c>
      <c r="F21" s="65">
        <v>3872</v>
      </c>
      <c r="G21" s="65">
        <v>64533.33</v>
      </c>
      <c r="H21" s="65">
        <v>3703.25</v>
      </c>
      <c r="I21" s="65">
        <v>61720.83</v>
      </c>
      <c r="J21" s="65">
        <v>4087.67</v>
      </c>
      <c r="K21" s="65">
        <v>68127.839999999997</v>
      </c>
      <c r="L21" s="65">
        <v>4457.67</v>
      </c>
      <c r="M21" s="65">
        <v>74294.5</v>
      </c>
      <c r="N21" s="65">
        <v>4956</v>
      </c>
      <c r="O21" s="65">
        <v>82600</v>
      </c>
      <c r="P21" s="65">
        <v>5039.83</v>
      </c>
      <c r="Q21" s="65">
        <v>83997.17</v>
      </c>
      <c r="R21" s="65">
        <v>4605.17</v>
      </c>
      <c r="S21" s="65">
        <v>76752.83</v>
      </c>
      <c r="T21" s="65">
        <v>4539.75</v>
      </c>
      <c r="U21" s="65">
        <v>75662.5</v>
      </c>
      <c r="V21" s="65">
        <v>4630.54</v>
      </c>
      <c r="W21" s="65">
        <v>77175.66</v>
      </c>
    </row>
    <row r="22" spans="1:23" x14ac:dyDescent="0.3">
      <c r="A22" t="s">
        <v>113</v>
      </c>
      <c r="B22" s="65">
        <v>3786.75</v>
      </c>
      <c r="C22" s="65">
        <v>63112.5</v>
      </c>
      <c r="D22" s="65">
        <v>3704.08</v>
      </c>
      <c r="E22" s="65">
        <v>61734.67</v>
      </c>
      <c r="F22" s="65">
        <v>3872</v>
      </c>
      <c r="G22" s="65">
        <v>64533.33</v>
      </c>
      <c r="H22" s="65">
        <v>3703.25</v>
      </c>
      <c r="I22" s="65">
        <v>61720.83</v>
      </c>
      <c r="J22" s="65">
        <v>4087.67</v>
      </c>
      <c r="K22" s="65">
        <v>68127.839999999997</v>
      </c>
      <c r="L22" s="65">
        <v>4457.67</v>
      </c>
      <c r="M22" s="65">
        <v>74294.5</v>
      </c>
      <c r="N22" s="65">
        <v>4956</v>
      </c>
      <c r="O22" s="65">
        <v>82600</v>
      </c>
      <c r="P22" s="65">
        <v>5039.83</v>
      </c>
      <c r="Q22" s="65">
        <v>83997.17</v>
      </c>
      <c r="R22" s="65">
        <v>4605.17</v>
      </c>
      <c r="S22" s="65">
        <v>76752.83</v>
      </c>
      <c r="T22" s="65">
        <v>4539.75</v>
      </c>
      <c r="U22" s="65">
        <v>75662.5</v>
      </c>
      <c r="V22" s="65">
        <v>4630.54</v>
      </c>
      <c r="W22" s="65">
        <v>77175.66</v>
      </c>
    </row>
    <row r="23" spans="1:23" x14ac:dyDescent="0.3">
      <c r="A23" s="58" t="s">
        <v>114</v>
      </c>
      <c r="B23" s="240">
        <f t="shared" ref="B23:C23" si="7">SUM(B17:B22)</f>
        <v>22720.5</v>
      </c>
      <c r="C23" s="240">
        <f t="shared" si="7"/>
        <v>378675</v>
      </c>
      <c r="D23" s="240">
        <f t="shared" ref="D23:U23" si="8">SUM(D17:D22)</f>
        <v>22224.480000000003</v>
      </c>
      <c r="E23" s="240">
        <f t="shared" si="8"/>
        <v>370408.01999999996</v>
      </c>
      <c r="F23" s="240">
        <f t="shared" si="8"/>
        <v>23232</v>
      </c>
      <c r="G23" s="240">
        <f t="shared" si="8"/>
        <v>387199.98000000004</v>
      </c>
      <c r="H23" s="240">
        <f t="shared" si="8"/>
        <v>22219.5</v>
      </c>
      <c r="I23" s="240">
        <f t="shared" si="8"/>
        <v>370324.98000000004</v>
      </c>
      <c r="J23" s="240">
        <f t="shared" si="8"/>
        <v>24526.019999999997</v>
      </c>
      <c r="K23" s="240">
        <f t="shared" si="8"/>
        <v>408767.03999999992</v>
      </c>
      <c r="L23" s="240">
        <f t="shared" si="8"/>
        <v>26746.019999999997</v>
      </c>
      <c r="M23" s="240">
        <f t="shared" si="8"/>
        <v>445767</v>
      </c>
      <c r="N23" s="240">
        <f t="shared" si="8"/>
        <v>29736</v>
      </c>
      <c r="O23" s="240">
        <f t="shared" si="8"/>
        <v>495600</v>
      </c>
      <c r="P23" s="240">
        <f t="shared" si="8"/>
        <v>30238.980000000003</v>
      </c>
      <c r="Q23" s="240">
        <f t="shared" si="8"/>
        <v>503983.01999999996</v>
      </c>
      <c r="R23" s="240">
        <f t="shared" si="8"/>
        <v>27631.019999999997</v>
      </c>
      <c r="S23" s="240">
        <f t="shared" si="8"/>
        <v>460516.98000000004</v>
      </c>
      <c r="T23" s="240">
        <f t="shared" si="8"/>
        <v>27238.5</v>
      </c>
      <c r="U23" s="240">
        <f t="shared" si="8"/>
        <v>453975</v>
      </c>
      <c r="V23" s="240">
        <f t="shared" ref="V23:W23" si="9">SUM(V17:V22)</f>
        <v>27783.24</v>
      </c>
      <c r="W23" s="240">
        <f t="shared" si="9"/>
        <v>463053.96000000008</v>
      </c>
    </row>
    <row r="24" spans="1:23" x14ac:dyDescent="0.3">
      <c r="B24" s="113"/>
      <c r="C24" s="113"/>
      <c r="D24" s="113"/>
      <c r="E24" s="113"/>
      <c r="F24" s="113"/>
      <c r="G24" s="113"/>
      <c r="H24" s="113"/>
      <c r="I24" s="113"/>
      <c r="J24" s="113"/>
      <c r="K24" s="113"/>
      <c r="L24" s="113"/>
      <c r="M24" s="113"/>
      <c r="N24" s="113"/>
      <c r="O24" s="113"/>
      <c r="P24" s="113"/>
      <c r="Q24" s="113"/>
      <c r="R24" s="113"/>
      <c r="S24" s="113"/>
      <c r="T24" s="113"/>
      <c r="U24" s="113"/>
      <c r="V24" s="113"/>
      <c r="W24" s="113"/>
    </row>
    <row r="25" spans="1:23" ht="15" thickBot="1" x14ac:dyDescent="0.35">
      <c r="A25" s="59" t="s">
        <v>117</v>
      </c>
      <c r="B25" s="127">
        <f t="shared" ref="B25:C25" si="10">B23+B15</f>
        <v>44420.020000000004</v>
      </c>
      <c r="C25" s="127">
        <f t="shared" si="10"/>
        <v>740333.66</v>
      </c>
      <c r="D25" s="127">
        <f t="shared" ref="D25:U25" si="11">D23+D15</f>
        <v>44944.98</v>
      </c>
      <c r="E25" s="127">
        <f t="shared" si="11"/>
        <v>749083.02</v>
      </c>
      <c r="F25" s="127">
        <f t="shared" si="11"/>
        <v>45456.520000000004</v>
      </c>
      <c r="G25" s="127">
        <f t="shared" si="11"/>
        <v>757608.64000000013</v>
      </c>
      <c r="H25" s="127">
        <f t="shared" si="11"/>
        <v>45451.5</v>
      </c>
      <c r="I25" s="127">
        <f t="shared" si="11"/>
        <v>757524.96000000008</v>
      </c>
      <c r="J25" s="127">
        <f t="shared" si="11"/>
        <v>46745.52</v>
      </c>
      <c r="K25" s="127">
        <f t="shared" si="11"/>
        <v>779092.02</v>
      </c>
      <c r="L25" s="127">
        <f t="shared" si="11"/>
        <v>51272</v>
      </c>
      <c r="M25" s="127">
        <f t="shared" si="11"/>
        <v>854533.35999999987</v>
      </c>
      <c r="N25" s="127">
        <f t="shared" si="11"/>
        <v>56481.979999999996</v>
      </c>
      <c r="O25" s="127">
        <f t="shared" si="11"/>
        <v>941366.36</v>
      </c>
      <c r="P25" s="127">
        <f>P23+P15</f>
        <v>59974.98</v>
      </c>
      <c r="Q25" s="127">
        <f t="shared" si="11"/>
        <v>999583.02</v>
      </c>
      <c r="R25" s="127">
        <f t="shared" si="11"/>
        <v>57870.039999999994</v>
      </c>
      <c r="S25" s="127">
        <f t="shared" si="11"/>
        <v>964500.66</v>
      </c>
      <c r="T25" s="127">
        <f t="shared" si="11"/>
        <v>54869.479999999996</v>
      </c>
      <c r="U25" s="127">
        <f t="shared" si="11"/>
        <v>914491.32000000007</v>
      </c>
      <c r="V25" s="127">
        <f t="shared" ref="V25:W25" si="12">V23+V15</f>
        <v>55021.740000000005</v>
      </c>
      <c r="W25" s="127">
        <f t="shared" si="12"/>
        <v>917028.96000000008</v>
      </c>
    </row>
    <row r="26" spans="1:23" ht="15" thickTop="1" x14ac:dyDescent="0.3">
      <c r="B26" s="79"/>
      <c r="C26" s="79"/>
      <c r="D26" s="79"/>
      <c r="E26" s="79"/>
      <c r="F26" s="79"/>
      <c r="G26" s="79"/>
      <c r="H26" s="79"/>
      <c r="I26" s="79"/>
      <c r="J26" s="79"/>
      <c r="K26" s="79"/>
      <c r="L26" s="79"/>
      <c r="M26" s="79"/>
      <c r="N26" s="79"/>
      <c r="O26" s="79"/>
      <c r="P26" s="79"/>
      <c r="Q26" s="79"/>
      <c r="R26" s="79"/>
      <c r="S26" s="79"/>
      <c r="T26" s="79"/>
      <c r="U26" s="79"/>
      <c r="V26" s="79"/>
      <c r="W26" s="79"/>
    </row>
    <row r="27" spans="1:23" ht="15" thickBot="1" x14ac:dyDescent="0.35">
      <c r="A27" s="60" t="s">
        <v>150</v>
      </c>
      <c r="B27" s="127"/>
      <c r="C27" s="127"/>
      <c r="D27" s="127">
        <f>B23+D15</f>
        <v>45441</v>
      </c>
      <c r="E27" s="127">
        <f>C23+E15</f>
        <v>757350</v>
      </c>
      <c r="F27" s="127">
        <f>D23+F15</f>
        <v>44449</v>
      </c>
      <c r="G27" s="127">
        <f>E23+G15</f>
        <v>740816.67999999993</v>
      </c>
      <c r="H27" s="127">
        <f t="shared" ref="H27:I27" si="13">F23+H15</f>
        <v>46464</v>
      </c>
      <c r="I27" s="127">
        <f t="shared" si="13"/>
        <v>774399.96000000008</v>
      </c>
      <c r="J27" s="127">
        <f t="shared" ref="J27:M27" si="14">H23+J15</f>
        <v>44439</v>
      </c>
      <c r="K27" s="127">
        <f t="shared" si="14"/>
        <v>740649.96000000008</v>
      </c>
      <c r="L27" s="127">
        <f t="shared" si="14"/>
        <v>49052</v>
      </c>
      <c r="M27" s="127">
        <f t="shared" si="14"/>
        <v>817533.39999999991</v>
      </c>
      <c r="N27" s="127">
        <f t="shared" ref="N27:Q27" si="15">L23+N15</f>
        <v>53492</v>
      </c>
      <c r="O27" s="127">
        <f t="shared" si="15"/>
        <v>891533.36</v>
      </c>
      <c r="P27" s="127">
        <f>N23+P15</f>
        <v>59472</v>
      </c>
      <c r="Q27" s="127">
        <f t="shared" si="15"/>
        <v>991200</v>
      </c>
      <c r="R27" s="127">
        <f t="shared" ref="R27:W27" si="16">P23+R15</f>
        <v>60478</v>
      </c>
      <c r="S27" s="127">
        <f t="shared" si="16"/>
        <v>1007966.7</v>
      </c>
      <c r="T27" s="127">
        <f t="shared" si="16"/>
        <v>55262</v>
      </c>
      <c r="U27" s="127">
        <f t="shared" si="16"/>
        <v>921033.3</v>
      </c>
      <c r="V27" s="127">
        <f t="shared" si="16"/>
        <v>54477</v>
      </c>
      <c r="W27" s="127">
        <f t="shared" si="16"/>
        <v>907950</v>
      </c>
    </row>
    <row r="28" spans="1:23" ht="15" thickTop="1" x14ac:dyDescent="0.3"/>
    <row r="30" spans="1:23" x14ac:dyDescent="0.3">
      <c r="A30" s="165" t="s">
        <v>115</v>
      </c>
      <c r="B30" s="73"/>
      <c r="C30" s="73"/>
      <c r="D30" s="73"/>
      <c r="E30" s="73"/>
      <c r="F30" s="73"/>
    </row>
  </sheetData>
  <pageMargins left="0.7" right="0.7" top="0.75" bottom="0.75" header="0.3" footer="0.3"/>
  <pageSetup scale="31" orientation="landscape"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10"/>
  <sheetViews>
    <sheetView tabSelected="1" zoomScaleNormal="100" workbookViewId="0">
      <selection activeCell="A4" sqref="A4"/>
    </sheetView>
  </sheetViews>
  <sheetFormatPr defaultColWidth="9.109375" defaultRowHeight="15" x14ac:dyDescent="0.25"/>
  <cols>
    <col min="1" max="1" width="13.6640625" style="2" customWidth="1"/>
    <col min="2" max="2" width="12.6640625" style="2" customWidth="1"/>
    <col min="3" max="3" width="2.33203125" style="2" bestFit="1" customWidth="1"/>
    <col min="4" max="4" width="17.6640625" style="2" customWidth="1"/>
    <col min="5" max="5" width="2.33203125" style="2" bestFit="1" customWidth="1"/>
    <col min="6" max="6" width="40.109375" style="2" customWidth="1"/>
    <col min="7" max="7" width="1.33203125" style="2" customWidth="1"/>
    <col min="8" max="8" width="28.33203125" style="2" customWidth="1"/>
    <col min="9" max="9" width="1.88671875" style="2" customWidth="1"/>
    <col min="10" max="10" width="24.5546875" style="2" customWidth="1"/>
    <col min="11" max="11" width="20.33203125" style="2" customWidth="1"/>
    <col min="12" max="12" width="15.44140625" style="2" bestFit="1" customWidth="1"/>
    <col min="13" max="13" width="16.33203125" style="2" bestFit="1" customWidth="1"/>
    <col min="14" max="16384" width="9.109375" style="2"/>
  </cols>
  <sheetData>
    <row r="1" spans="1:12" s="96" customFormat="1" ht="13.8" x14ac:dyDescent="0.25">
      <c r="A1" s="389" t="s">
        <v>772</v>
      </c>
      <c r="B1" s="390"/>
      <c r="C1" s="390"/>
      <c r="D1" s="391"/>
    </row>
    <row r="2" spans="1:12" s="96" customFormat="1" ht="14.4" thickBot="1" x14ac:dyDescent="0.3">
      <c r="A2" s="392" t="s">
        <v>773</v>
      </c>
      <c r="B2" s="393"/>
      <c r="C2" s="393"/>
      <c r="D2" s="394"/>
    </row>
    <row r="3" spans="1:12" s="96" customFormat="1" ht="13.8" x14ac:dyDescent="0.25">
      <c r="A3" s="237"/>
    </row>
    <row r="4" spans="1:12" s="1" customFormat="1" ht="15.6" x14ac:dyDescent="0.3">
      <c r="A4" s="1" t="s">
        <v>924</v>
      </c>
    </row>
    <row r="5" spans="1:12" s="1" customFormat="1" ht="15.6" x14ac:dyDescent="0.3"/>
    <row r="6" spans="1:12" x14ac:dyDescent="0.25">
      <c r="A6" s="2" t="s">
        <v>0</v>
      </c>
    </row>
    <row r="7" spans="1:12" x14ac:dyDescent="0.25">
      <c r="A7" s="2" t="s">
        <v>1</v>
      </c>
    </row>
    <row r="8" spans="1:12" s="1" customFormat="1" ht="15.6" x14ac:dyDescent="0.3">
      <c r="A8" s="2" t="s">
        <v>2</v>
      </c>
      <c r="B8" s="2"/>
      <c r="C8" s="2"/>
      <c r="D8" s="2"/>
      <c r="E8" s="2"/>
      <c r="F8" s="2"/>
      <c r="G8" s="2"/>
      <c r="H8" s="2"/>
      <c r="I8" s="2"/>
      <c r="J8" s="2"/>
      <c r="K8" s="2"/>
      <c r="L8" s="2"/>
    </row>
    <row r="9" spans="1:12" x14ac:dyDescent="0.25">
      <c r="A9" s="2" t="s">
        <v>919</v>
      </c>
    </row>
    <row r="10" spans="1:12" x14ac:dyDescent="0.25">
      <c r="A10" s="2" t="s">
        <v>3</v>
      </c>
    </row>
    <row r="11" spans="1:12" x14ac:dyDescent="0.25">
      <c r="A11" s="2" t="s">
        <v>4</v>
      </c>
    </row>
    <row r="13" spans="1:12" s="1" customFormat="1" ht="15.6" x14ac:dyDescent="0.3">
      <c r="A13" s="1" t="s">
        <v>5</v>
      </c>
    </row>
    <row r="14" spans="1:12" s="1" customFormat="1" ht="15.6" x14ac:dyDescent="0.3">
      <c r="A14" s="1" t="s">
        <v>6</v>
      </c>
    </row>
    <row r="15" spans="1:12" x14ac:dyDescent="0.25">
      <c r="H15" s="3" t="s">
        <v>7</v>
      </c>
      <c r="J15" s="3" t="s">
        <v>8</v>
      </c>
    </row>
    <row r="16" spans="1:12" x14ac:dyDescent="0.25">
      <c r="B16" s="3" t="s">
        <v>9</v>
      </c>
      <c r="C16" s="3"/>
      <c r="D16" s="3" t="s">
        <v>9</v>
      </c>
      <c r="E16" s="3"/>
      <c r="F16" s="3" t="s">
        <v>10</v>
      </c>
      <c r="G16" s="3"/>
      <c r="H16" s="3" t="s">
        <v>11</v>
      </c>
      <c r="I16" s="3"/>
      <c r="J16" s="3" t="s">
        <v>12</v>
      </c>
      <c r="K16" s="3"/>
    </row>
    <row r="17" spans="1:11" x14ac:dyDescent="0.25">
      <c r="B17" s="4" t="s">
        <v>13</v>
      </c>
      <c r="C17" s="3"/>
      <c r="D17" s="4" t="s">
        <v>14</v>
      </c>
      <c r="E17" s="3"/>
      <c r="F17" s="4" t="s">
        <v>15</v>
      </c>
      <c r="G17" s="3"/>
      <c r="H17" s="4" t="s">
        <v>16</v>
      </c>
      <c r="I17" s="3"/>
      <c r="J17" s="5" t="s">
        <v>302</v>
      </c>
      <c r="K17" s="3"/>
    </row>
    <row r="18" spans="1:11" s="287" customFormat="1" x14ac:dyDescent="0.25">
      <c r="A18" s="6">
        <v>42551</v>
      </c>
      <c r="B18" s="7">
        <v>999999</v>
      </c>
      <c r="C18" s="7"/>
      <c r="D18" s="7" t="s">
        <v>17</v>
      </c>
      <c r="E18" s="7"/>
      <c r="F18" s="8">
        <v>45441</v>
      </c>
      <c r="G18" s="7"/>
      <c r="H18" s="7">
        <v>3.9829299999999998E-4</v>
      </c>
      <c r="I18" s="3"/>
      <c r="J18" s="3">
        <v>4.38</v>
      </c>
      <c r="K18" s="3"/>
    </row>
    <row r="19" spans="1:11" s="242" customFormat="1" x14ac:dyDescent="0.25">
      <c r="A19" s="6">
        <v>42916</v>
      </c>
      <c r="B19" s="7">
        <v>999999</v>
      </c>
      <c r="C19" s="7"/>
      <c r="D19" s="7" t="s">
        <v>17</v>
      </c>
      <c r="E19" s="7"/>
      <c r="F19" s="8">
        <v>44449</v>
      </c>
      <c r="G19" s="7"/>
      <c r="H19" s="7">
        <v>3.64612E-4</v>
      </c>
      <c r="I19" s="3"/>
      <c r="J19" s="3">
        <v>4.46</v>
      </c>
      <c r="K19" s="3"/>
    </row>
    <row r="20" spans="1:11" x14ac:dyDescent="0.25">
      <c r="A20" s="6">
        <v>43281</v>
      </c>
      <c r="B20" s="7">
        <v>999999</v>
      </c>
      <c r="C20" s="7"/>
      <c r="D20" s="7" t="s">
        <v>17</v>
      </c>
      <c r="E20" s="7"/>
      <c r="F20" s="8">
        <v>46464</v>
      </c>
      <c r="G20" s="7"/>
      <c r="H20" s="7">
        <v>3.7250400000000001E-4</v>
      </c>
      <c r="I20" s="3"/>
      <c r="J20" s="3">
        <v>4.3099999999999996</v>
      </c>
      <c r="K20" s="3"/>
    </row>
    <row r="21" spans="1:11" s="308" customFormat="1" x14ac:dyDescent="0.25">
      <c r="A21" s="6">
        <v>43646</v>
      </c>
      <c r="B21" s="7">
        <v>999999</v>
      </c>
      <c r="C21" s="7"/>
      <c r="D21" s="7" t="s">
        <v>17</v>
      </c>
      <c r="E21" s="7"/>
      <c r="F21" s="8">
        <v>44439</v>
      </c>
      <c r="G21" s="7"/>
      <c r="H21" s="7">
        <v>3.4834599999999997E-4</v>
      </c>
      <c r="I21" s="3"/>
      <c r="J21" s="3">
        <v>4.4400000000000004</v>
      </c>
      <c r="K21" s="3"/>
    </row>
    <row r="22" spans="1:11" s="314" customFormat="1" x14ac:dyDescent="0.25">
      <c r="A22" s="6">
        <v>44012</v>
      </c>
      <c r="B22" s="7">
        <v>999999</v>
      </c>
      <c r="C22" s="7"/>
      <c r="D22" s="7" t="s">
        <v>17</v>
      </c>
      <c r="E22" s="7"/>
      <c r="F22" s="8">
        <v>49052</v>
      </c>
      <c r="G22" s="7"/>
      <c r="H22" s="7">
        <v>3.7250599999999999E-4</v>
      </c>
      <c r="I22" s="3"/>
      <c r="J22" s="3">
        <v>4.34</v>
      </c>
      <c r="K22" s="3"/>
    </row>
    <row r="23" spans="1:11" s="323" customFormat="1" x14ac:dyDescent="0.25">
      <c r="A23" s="6">
        <v>44377</v>
      </c>
      <c r="B23" s="7">
        <v>999999</v>
      </c>
      <c r="C23" s="7"/>
      <c r="D23" s="7" t="s">
        <v>17</v>
      </c>
      <c r="E23" s="7"/>
      <c r="F23" s="8">
        <v>53492</v>
      </c>
      <c r="G23" s="7"/>
      <c r="H23" s="370">
        <v>3.9285999999999998E-4</v>
      </c>
      <c r="I23" s="3"/>
      <c r="J23" s="3">
        <v>4.25</v>
      </c>
      <c r="K23" s="3"/>
    </row>
    <row r="24" spans="1:11" s="330" customFormat="1" x14ac:dyDescent="0.25">
      <c r="A24" s="6">
        <v>44742</v>
      </c>
      <c r="B24" s="7">
        <v>999999</v>
      </c>
      <c r="C24" s="7"/>
      <c r="D24" s="7" t="s">
        <v>17</v>
      </c>
      <c r="E24" s="7"/>
      <c r="F24" s="8">
        <v>59472</v>
      </c>
      <c r="G24" s="7"/>
      <c r="H24" s="370">
        <v>4.1510000000000001E-4</v>
      </c>
      <c r="I24" s="3"/>
      <c r="J24" s="3">
        <v>4.3899999999999997</v>
      </c>
      <c r="K24" s="3"/>
    </row>
    <row r="25" spans="1:11" s="335" customFormat="1" x14ac:dyDescent="0.25">
      <c r="A25" s="6">
        <v>45107</v>
      </c>
      <c r="B25" s="7">
        <v>999999</v>
      </c>
      <c r="C25" s="7"/>
      <c r="D25" s="7" t="s">
        <v>17</v>
      </c>
      <c r="E25" s="7"/>
      <c r="F25" s="8">
        <v>60478</v>
      </c>
      <c r="G25" s="7"/>
      <c r="H25" s="370">
        <v>3.9078000000000002E-4</v>
      </c>
      <c r="I25" s="3"/>
      <c r="J25" s="3">
        <v>4.33</v>
      </c>
      <c r="K25" s="3"/>
    </row>
    <row r="26" spans="1:11" s="345" customFormat="1" x14ac:dyDescent="0.25">
      <c r="A26" s="6">
        <v>45473</v>
      </c>
      <c r="B26" s="7">
        <v>999999</v>
      </c>
      <c r="C26" s="7"/>
      <c r="D26" s="7" t="s">
        <v>17</v>
      </c>
      <c r="E26" s="7"/>
      <c r="F26" s="8">
        <v>55262</v>
      </c>
      <c r="G26" s="7"/>
      <c r="H26" s="370">
        <v>3.2830000000000001E-4</v>
      </c>
      <c r="I26" s="3"/>
      <c r="J26" s="3">
        <v>4.28</v>
      </c>
      <c r="K26" s="3"/>
    </row>
    <row r="27" spans="1:11" x14ac:dyDescent="0.25">
      <c r="A27" s="6">
        <v>45838</v>
      </c>
      <c r="B27" s="7">
        <v>999999</v>
      </c>
      <c r="C27" s="7"/>
      <c r="D27" s="7" t="s">
        <v>17</v>
      </c>
      <c r="E27" s="7"/>
      <c r="F27" s="8">
        <v>54477</v>
      </c>
      <c r="G27" s="7"/>
      <c r="H27" s="370">
        <v>3.0516000000000001E-4</v>
      </c>
      <c r="I27" s="3"/>
      <c r="J27" s="3">
        <v>4.29</v>
      </c>
      <c r="K27" s="3"/>
    </row>
    <row r="28" spans="1:11" ht="15.6" thickBot="1" x14ac:dyDescent="0.3">
      <c r="B28" s="9"/>
      <c r="C28" s="9"/>
      <c r="D28" s="9"/>
      <c r="E28" s="9"/>
      <c r="F28" s="9"/>
      <c r="G28" s="9"/>
      <c r="H28" s="9"/>
    </row>
    <row r="29" spans="1:11" s="1" customFormat="1" ht="16.2" thickBot="1" x14ac:dyDescent="0.35">
      <c r="A29" s="35" t="s">
        <v>18</v>
      </c>
      <c r="B29" s="1" t="s">
        <v>19</v>
      </c>
    </row>
    <row r="30" spans="1:11" x14ac:dyDescent="0.25">
      <c r="D30" s="2" t="s">
        <v>20</v>
      </c>
    </row>
    <row r="31" spans="1:11" x14ac:dyDescent="0.25">
      <c r="D31" s="2" t="s">
        <v>21</v>
      </c>
    </row>
    <row r="32" spans="1:11" x14ac:dyDescent="0.25">
      <c r="D32" s="2" t="s">
        <v>777</v>
      </c>
    </row>
    <row r="33" spans="1:12" ht="6.75" customHeight="1" thickBot="1" x14ac:dyDescent="0.3">
      <c r="H33" s="313"/>
    </row>
    <row r="34" spans="1:12" x14ac:dyDescent="0.25">
      <c r="A34" s="10"/>
      <c r="B34" s="11"/>
      <c r="C34" s="11"/>
      <c r="D34" s="11"/>
      <c r="E34" s="11"/>
      <c r="F34" s="11"/>
      <c r="G34" s="11"/>
      <c r="H34" s="320">
        <v>45473</v>
      </c>
      <c r="I34" s="360"/>
      <c r="J34" s="12">
        <v>45838</v>
      </c>
    </row>
    <row r="35" spans="1:12" x14ac:dyDescent="0.25">
      <c r="A35" s="399" t="s">
        <v>22</v>
      </c>
      <c r="B35" s="400"/>
      <c r="C35" s="400"/>
      <c r="D35" s="400"/>
      <c r="E35" s="400"/>
      <c r="F35" s="400"/>
      <c r="G35" s="334"/>
      <c r="H35" s="14">
        <v>594061081</v>
      </c>
      <c r="I35" s="14"/>
      <c r="J35" s="15">
        <v>705588304</v>
      </c>
      <c r="K35" s="16"/>
    </row>
    <row r="36" spans="1:12" x14ac:dyDescent="0.25">
      <c r="A36" s="399" t="s">
        <v>23</v>
      </c>
      <c r="B36" s="400"/>
      <c r="C36" s="400"/>
      <c r="D36" s="400"/>
      <c r="E36" s="400"/>
      <c r="F36" s="400"/>
      <c r="G36" s="334"/>
      <c r="H36" s="14">
        <v>508723896</v>
      </c>
      <c r="I36" s="14"/>
      <c r="J36" s="15">
        <v>451462251</v>
      </c>
      <c r="K36" s="16"/>
    </row>
    <row r="37" spans="1:12" x14ac:dyDescent="0.25">
      <c r="A37" s="401" t="s">
        <v>24</v>
      </c>
      <c r="B37" s="402"/>
      <c r="C37" s="402"/>
      <c r="D37" s="402"/>
      <c r="E37" s="402"/>
      <c r="F37" s="402"/>
      <c r="G37" s="334"/>
      <c r="H37" s="14">
        <v>-4047977</v>
      </c>
      <c r="I37" s="14"/>
      <c r="J37" s="15">
        <v>-8505183</v>
      </c>
      <c r="K37" s="16"/>
    </row>
    <row r="38" spans="1:12" ht="15.6" thickBot="1" x14ac:dyDescent="0.3">
      <c r="A38" s="395" t="s">
        <v>25</v>
      </c>
      <c r="B38" s="396"/>
      <c r="C38" s="396"/>
      <c r="D38" s="396"/>
      <c r="E38" s="396"/>
      <c r="F38" s="396"/>
      <c r="G38" s="336"/>
      <c r="H38" s="203">
        <f>H26</f>
        <v>3.2830000000000001E-4</v>
      </c>
      <c r="I38" s="18"/>
      <c r="J38" s="205">
        <f>H27</f>
        <v>3.0516000000000001E-4</v>
      </c>
      <c r="K38" s="16"/>
    </row>
    <row r="39" spans="1:12" ht="15.6" thickBot="1" x14ac:dyDescent="0.3">
      <c r="A39" s="13"/>
      <c r="B39" s="13"/>
      <c r="C39" s="13"/>
      <c r="D39" s="13"/>
      <c r="E39" s="13"/>
      <c r="F39" s="13"/>
      <c r="G39" s="13"/>
      <c r="H39" s="14"/>
      <c r="I39" s="14"/>
      <c r="J39" s="19"/>
      <c r="K39" s="16"/>
    </row>
    <row r="40" spans="1:12" x14ac:dyDescent="0.25">
      <c r="A40" s="403"/>
      <c r="B40" s="404"/>
      <c r="C40" s="404"/>
      <c r="D40" s="404"/>
      <c r="E40" s="404"/>
      <c r="F40" s="404"/>
      <c r="G40" s="11"/>
      <c r="H40" s="321">
        <v>45473</v>
      </c>
      <c r="I40" s="11"/>
      <c r="J40" s="243">
        <v>45838</v>
      </c>
      <c r="K40" s="16"/>
    </row>
    <row r="41" spans="1:12" x14ac:dyDescent="0.25">
      <c r="A41" s="399" t="s">
        <v>778</v>
      </c>
      <c r="B41" s="400"/>
      <c r="C41" s="400"/>
      <c r="D41" s="400"/>
      <c r="E41" s="400"/>
      <c r="F41" s="400"/>
      <c r="G41" s="360"/>
      <c r="H41" s="322">
        <v>107928328</v>
      </c>
      <c r="I41" s="360"/>
      <c r="J41" s="244">
        <v>-173562377</v>
      </c>
      <c r="K41" s="16"/>
    </row>
    <row r="42" spans="1:12" x14ac:dyDescent="0.25">
      <c r="A42" s="362" t="s">
        <v>828</v>
      </c>
      <c r="B42" s="363"/>
      <c r="C42" s="363"/>
      <c r="D42" s="363"/>
      <c r="E42" s="363"/>
      <c r="F42" s="363"/>
      <c r="G42" s="360"/>
      <c r="H42" s="322">
        <v>168329948</v>
      </c>
      <c r="I42" s="360"/>
      <c r="J42" s="244">
        <v>178517209</v>
      </c>
      <c r="K42" s="16"/>
    </row>
    <row r="43" spans="1:12" x14ac:dyDescent="0.25">
      <c r="A43" s="327" t="s">
        <v>829</v>
      </c>
      <c r="B43" s="363"/>
      <c r="C43" s="363"/>
      <c r="D43" s="363"/>
      <c r="E43" s="363"/>
      <c r="F43" s="363"/>
      <c r="G43" s="360"/>
      <c r="H43" s="368">
        <f>SUM(H41:H42)</f>
        <v>276258276</v>
      </c>
      <c r="I43" s="360"/>
      <c r="J43" s="245">
        <f>SUM(J41:J42)</f>
        <v>4954832</v>
      </c>
      <c r="K43" s="16"/>
    </row>
    <row r="44" spans="1:12" ht="15.6" thickBot="1" x14ac:dyDescent="0.3">
      <c r="A44" s="395" t="s">
        <v>25</v>
      </c>
      <c r="B44" s="396"/>
      <c r="C44" s="396"/>
      <c r="D44" s="396"/>
      <c r="E44" s="396"/>
      <c r="F44" s="396"/>
      <c r="G44" s="361"/>
      <c r="H44" s="203">
        <f>H26</f>
        <v>3.2830000000000001E-4</v>
      </c>
      <c r="I44" s="18"/>
      <c r="J44" s="246">
        <f>H27</f>
        <v>3.0516000000000001E-4</v>
      </c>
      <c r="K44" s="16"/>
    </row>
    <row r="45" spans="1:12" ht="15.6" thickBot="1" x14ac:dyDescent="0.3">
      <c r="A45" s="13"/>
      <c r="B45" s="13"/>
      <c r="C45" s="13"/>
      <c r="D45" s="13"/>
      <c r="E45" s="13"/>
      <c r="F45" s="13"/>
      <c r="G45" s="13"/>
      <c r="H45" s="14"/>
      <c r="I45" s="14"/>
      <c r="J45" s="19"/>
      <c r="K45" s="16"/>
    </row>
    <row r="46" spans="1:12" s="1" customFormat="1" ht="16.2" thickBot="1" x14ac:dyDescent="0.35">
      <c r="A46" s="35" t="s">
        <v>26</v>
      </c>
      <c r="B46" s="1" t="s">
        <v>27</v>
      </c>
    </row>
    <row r="47" spans="1:12" ht="15.6" thickBot="1" x14ac:dyDescent="0.3"/>
    <row r="48" spans="1:12" ht="15.75" customHeight="1" x14ac:dyDescent="0.25">
      <c r="A48" s="10"/>
      <c r="B48" s="11"/>
      <c r="C48" s="11"/>
      <c r="D48" s="11"/>
      <c r="E48" s="11"/>
      <c r="F48" s="21" t="s">
        <v>28</v>
      </c>
      <c r="G48" s="21"/>
      <c r="H48" s="21" t="s">
        <v>28</v>
      </c>
      <c r="I48" s="11"/>
      <c r="J48" s="397" t="s">
        <v>309</v>
      </c>
      <c r="K48" s="398"/>
      <c r="L48" s="13"/>
    </row>
    <row r="49" spans="1:12" ht="15.75" customHeight="1" x14ac:dyDescent="0.25">
      <c r="A49" s="145"/>
      <c r="B49" s="146"/>
      <c r="C49" s="146"/>
      <c r="D49" s="146"/>
      <c r="E49" s="146"/>
      <c r="F49" s="23" t="s">
        <v>893</v>
      </c>
      <c r="G49" s="23"/>
      <c r="H49" s="23" t="s">
        <v>922</v>
      </c>
      <c r="I49" s="146"/>
      <c r="J49" s="376" t="s">
        <v>32</v>
      </c>
      <c r="K49" s="377"/>
      <c r="L49" s="13"/>
    </row>
    <row r="50" spans="1:12" ht="15.75" customHeight="1" x14ac:dyDescent="0.25">
      <c r="A50" s="145" t="s">
        <v>29</v>
      </c>
      <c r="B50" s="146"/>
      <c r="C50" s="146"/>
      <c r="D50" s="146"/>
      <c r="E50" s="146"/>
      <c r="F50" s="299">
        <f>H38</f>
        <v>3.2830000000000001E-4</v>
      </c>
      <c r="G50" s="23"/>
      <c r="H50" s="300">
        <f>J38</f>
        <v>3.0516000000000001E-4</v>
      </c>
      <c r="I50" s="146"/>
      <c r="J50" s="23" t="s">
        <v>303</v>
      </c>
      <c r="K50" s="155" t="s">
        <v>304</v>
      </c>
      <c r="L50" s="13"/>
    </row>
    <row r="51" spans="1:12" ht="15" customHeight="1" x14ac:dyDescent="0.25">
      <c r="A51" s="156" t="s">
        <v>31</v>
      </c>
      <c r="B51" s="152"/>
      <c r="C51" s="152"/>
      <c r="D51" s="152"/>
      <c r="E51" s="152"/>
      <c r="F51" s="23" t="s">
        <v>47</v>
      </c>
      <c r="G51" s="23"/>
      <c r="H51" s="27" t="s">
        <v>48</v>
      </c>
      <c r="I51" s="146"/>
      <c r="J51" s="23" t="s">
        <v>306</v>
      </c>
      <c r="K51" s="24" t="s">
        <v>306</v>
      </c>
      <c r="L51" s="13"/>
    </row>
    <row r="52" spans="1:12" s="147" customFormat="1" ht="5.25" customHeight="1" x14ac:dyDescent="0.25">
      <c r="A52" s="145"/>
      <c r="B52" s="146"/>
      <c r="C52" s="146"/>
      <c r="D52" s="146"/>
      <c r="E52" s="146"/>
      <c r="F52" s="23"/>
      <c r="G52" s="23"/>
      <c r="H52" s="27"/>
      <c r="I52" s="146"/>
      <c r="J52" s="23"/>
      <c r="K52" s="24"/>
      <c r="L52" s="146"/>
    </row>
    <row r="53" spans="1:12" s="147" customFormat="1" ht="15" customHeight="1" x14ac:dyDescent="0.25">
      <c r="A53" s="399" t="s">
        <v>75</v>
      </c>
      <c r="B53" s="400"/>
      <c r="C53" s="400"/>
      <c r="D53" s="400"/>
      <c r="E53" s="151"/>
      <c r="F53" s="206">
        <f>-H37*H38</f>
        <v>1328.9508491000001</v>
      </c>
      <c r="G53" s="207"/>
      <c r="H53" s="247">
        <f>-J37*J38</f>
        <v>2595.4416442800002</v>
      </c>
      <c r="I53" s="208"/>
      <c r="J53" s="209">
        <f>H53-F53</f>
        <v>1266.4907951800001</v>
      </c>
      <c r="K53" s="319"/>
      <c r="L53" s="146"/>
    </row>
    <row r="54" spans="1:12" x14ac:dyDescent="0.25">
      <c r="A54" s="378" t="s">
        <v>307</v>
      </c>
      <c r="B54" s="379"/>
      <c r="C54" s="379"/>
      <c r="D54" s="379"/>
      <c r="E54" s="146"/>
      <c r="F54" s="210">
        <f>H38*H35</f>
        <v>195030.25289230002</v>
      </c>
      <c r="G54" s="208"/>
      <c r="H54" s="210">
        <f>J38*J35</f>
        <v>215317.32684864002</v>
      </c>
      <c r="I54" s="208"/>
      <c r="J54" s="210">
        <f>H54-F54</f>
        <v>20287.073956339998</v>
      </c>
      <c r="K54" s="211"/>
      <c r="L54" s="13"/>
    </row>
    <row r="55" spans="1:12" s="147" customFormat="1" x14ac:dyDescent="0.25">
      <c r="A55" s="378" t="s">
        <v>305</v>
      </c>
      <c r="B55" s="379"/>
      <c r="C55" s="379"/>
      <c r="D55" s="379"/>
      <c r="E55" s="146"/>
      <c r="F55" s="210"/>
      <c r="G55" s="208"/>
      <c r="H55" s="210"/>
      <c r="I55" s="208"/>
      <c r="J55" s="210"/>
      <c r="K55" s="211">
        <f>H55-F55</f>
        <v>0</v>
      </c>
      <c r="L55" s="146"/>
    </row>
    <row r="56" spans="1:12" x14ac:dyDescent="0.25">
      <c r="A56" s="378" t="s">
        <v>308</v>
      </c>
      <c r="B56" s="379"/>
      <c r="C56" s="379"/>
      <c r="D56" s="379"/>
      <c r="E56" s="146"/>
      <c r="F56" s="210">
        <f>H38*H36</f>
        <v>167014.05505680002</v>
      </c>
      <c r="G56" s="208"/>
      <c r="H56" s="210">
        <f>J38*J36</f>
        <v>137768.22051516001</v>
      </c>
      <c r="I56" s="208"/>
      <c r="J56" s="208"/>
      <c r="K56" s="211">
        <f>H56-F56</f>
        <v>-29245.834541640012</v>
      </c>
      <c r="L56" s="13"/>
    </row>
    <row r="57" spans="1:12" ht="16.5" customHeight="1" thickBot="1" x14ac:dyDescent="0.3">
      <c r="A57" s="395"/>
      <c r="B57" s="396"/>
      <c r="C57" s="396"/>
      <c r="D57" s="396"/>
      <c r="E57" s="149"/>
      <c r="F57" s="212"/>
      <c r="G57" s="213"/>
      <c r="H57" s="212"/>
      <c r="I57" s="213"/>
      <c r="J57" s="212"/>
      <c r="K57" s="214"/>
      <c r="L57" s="13"/>
    </row>
    <row r="58" spans="1:12" ht="15.6" thickBot="1" x14ac:dyDescent="0.3">
      <c r="A58" s="408"/>
      <c r="B58" s="408"/>
      <c r="C58" s="408"/>
      <c r="D58" s="408"/>
      <c r="E58" s="408"/>
      <c r="F58" s="408"/>
    </row>
    <row r="59" spans="1:12" x14ac:dyDescent="0.25">
      <c r="B59" s="159" t="s">
        <v>923</v>
      </c>
      <c r="C59" s="11"/>
      <c r="D59" s="11"/>
      <c r="E59" s="11"/>
      <c r="F59" s="11"/>
      <c r="G59" s="11"/>
      <c r="H59" s="11"/>
      <c r="I59" s="11"/>
      <c r="J59" s="11"/>
      <c r="K59" s="30"/>
    </row>
    <row r="60" spans="1:12" ht="15.6" x14ac:dyDescent="0.3">
      <c r="B60" s="145"/>
      <c r="C60" s="146"/>
      <c r="D60" s="146"/>
      <c r="E60" s="146"/>
      <c r="F60" s="146"/>
      <c r="G60" s="146"/>
      <c r="H60" s="28"/>
      <c r="I60" s="31"/>
      <c r="J60" s="32">
        <v>45838</v>
      </c>
      <c r="K60" s="157"/>
    </row>
    <row r="61" spans="1:12" ht="15.6" x14ac:dyDescent="0.3">
      <c r="B61" s="150" t="s">
        <v>778</v>
      </c>
      <c r="C61" s="146"/>
      <c r="D61" s="146"/>
      <c r="E61" s="146"/>
      <c r="F61" s="146"/>
      <c r="G61" s="146"/>
      <c r="H61" s="28"/>
      <c r="I61" s="31"/>
      <c r="J61" s="209">
        <f>J44*J41</f>
        <v>-52964.294965320005</v>
      </c>
      <c r="K61" s="157"/>
    </row>
    <row r="62" spans="1:12" ht="15.6" x14ac:dyDescent="0.3">
      <c r="B62" s="286" t="s">
        <v>828</v>
      </c>
      <c r="C62" s="146"/>
      <c r="D62" s="146"/>
      <c r="E62" s="146"/>
      <c r="F62" s="146"/>
      <c r="G62" s="146"/>
      <c r="H62" s="28"/>
      <c r="I62" s="31"/>
      <c r="J62" s="215">
        <f>J44*J42</f>
        <v>54476.311498440002</v>
      </c>
      <c r="K62" s="157"/>
    </row>
    <row r="63" spans="1:12" ht="16.2" thickBot="1" x14ac:dyDescent="0.35">
      <c r="B63" s="238" t="s">
        <v>829</v>
      </c>
      <c r="C63" s="33"/>
      <c r="D63" s="33"/>
      <c r="E63" s="33"/>
      <c r="F63" s="33"/>
      <c r="G63" s="33"/>
      <c r="H63" s="29"/>
      <c r="I63" s="34"/>
      <c r="J63" s="216">
        <f>SUM(J61:J62)</f>
        <v>1512.0165331199969</v>
      </c>
      <c r="K63" s="158"/>
    </row>
    <row r="64" spans="1:12" ht="15.6" thickBot="1" x14ac:dyDescent="0.3">
      <c r="B64" s="20"/>
      <c r="C64" s="20"/>
      <c r="D64" s="20"/>
      <c r="E64" s="20"/>
      <c r="F64" s="20"/>
      <c r="G64" s="20"/>
    </row>
    <row r="65" spans="1:6" s="1" customFormat="1" ht="16.2" thickBot="1" x14ac:dyDescent="0.35">
      <c r="A65" s="35" t="s">
        <v>33</v>
      </c>
      <c r="B65" s="1" t="s">
        <v>34</v>
      </c>
    </row>
    <row r="66" spans="1:6" s="1" customFormat="1" ht="15.6" x14ac:dyDescent="0.3">
      <c r="A66" s="31"/>
      <c r="B66" s="1" t="s">
        <v>779</v>
      </c>
    </row>
    <row r="67" spans="1:6" ht="15.6" x14ac:dyDescent="0.3">
      <c r="B67" s="36"/>
    </row>
    <row r="68" spans="1:6" ht="15.6" x14ac:dyDescent="0.3">
      <c r="B68" s="2" t="s">
        <v>35</v>
      </c>
    </row>
    <row r="69" spans="1:6" x14ac:dyDescent="0.25">
      <c r="D69" s="2" t="s">
        <v>920</v>
      </c>
    </row>
    <row r="70" spans="1:6" ht="15.6" x14ac:dyDescent="0.3">
      <c r="D70" s="36" t="s">
        <v>921</v>
      </c>
      <c r="E70" s="36"/>
      <c r="F70" s="36"/>
    </row>
    <row r="71" spans="1:6" ht="7.5" customHeight="1" x14ac:dyDescent="0.3">
      <c r="D71" s="36"/>
      <c r="E71" s="36"/>
      <c r="F71" s="36"/>
    </row>
    <row r="72" spans="1:6" ht="3.75" customHeight="1" x14ac:dyDescent="0.3">
      <c r="D72" s="36"/>
      <c r="E72" s="36"/>
      <c r="F72" s="36"/>
    </row>
    <row r="73" spans="1:6" ht="6" customHeight="1" x14ac:dyDescent="0.25"/>
    <row r="74" spans="1:6" x14ac:dyDescent="0.25">
      <c r="D74" s="2" t="s">
        <v>36</v>
      </c>
    </row>
    <row r="75" spans="1:6" x14ac:dyDescent="0.25">
      <c r="D75" s="2" t="s">
        <v>37</v>
      </c>
    </row>
    <row r="76" spans="1:6" x14ac:dyDescent="0.25">
      <c r="D76" s="2" t="s">
        <v>38</v>
      </c>
    </row>
    <row r="78" spans="1:6" ht="16.2" thickBot="1" x14ac:dyDescent="0.35">
      <c r="B78" s="37" t="s">
        <v>39</v>
      </c>
    </row>
    <row r="79" spans="1:6" ht="16.2" thickBot="1" x14ac:dyDescent="0.35">
      <c r="C79" s="405" t="s">
        <v>40</v>
      </c>
      <c r="D79" s="406"/>
      <c r="F79" s="2" t="s">
        <v>41</v>
      </c>
    </row>
    <row r="80" spans="1:6" ht="15.6" x14ac:dyDescent="0.3">
      <c r="D80" s="2" t="s">
        <v>42</v>
      </c>
    </row>
    <row r="82" spans="2:12" x14ac:dyDescent="0.25">
      <c r="B82" s="74" t="s">
        <v>43</v>
      </c>
      <c r="D82" s="74"/>
    </row>
    <row r="83" spans="2:12" ht="8.25" customHeight="1" thickBot="1" x14ac:dyDescent="0.35">
      <c r="D83" s="38"/>
    </row>
    <row r="84" spans="2:12" ht="15.75" customHeight="1" x14ac:dyDescent="0.25">
      <c r="B84" s="10"/>
      <c r="C84" s="11"/>
      <c r="D84" s="11"/>
      <c r="E84" s="11"/>
      <c r="F84" s="21"/>
      <c r="G84" s="21"/>
      <c r="H84" s="21" t="s">
        <v>11</v>
      </c>
      <c r="I84" s="21"/>
      <c r="J84" s="21" t="s">
        <v>30</v>
      </c>
      <c r="K84" s="397" t="s">
        <v>315</v>
      </c>
      <c r="L84" s="398"/>
    </row>
    <row r="85" spans="2:12" x14ac:dyDescent="0.25">
      <c r="B85" s="145"/>
      <c r="C85" s="146"/>
      <c r="D85" s="146"/>
      <c r="E85" s="146"/>
      <c r="F85" s="23" t="s">
        <v>44</v>
      </c>
      <c r="G85" s="23"/>
      <c r="H85" s="23" t="s">
        <v>45</v>
      </c>
      <c r="I85" s="23"/>
      <c r="J85" s="23" t="s">
        <v>45</v>
      </c>
      <c r="K85" s="387" t="s">
        <v>316</v>
      </c>
      <c r="L85" s="388"/>
    </row>
    <row r="86" spans="2:12" x14ac:dyDescent="0.25">
      <c r="B86" s="145"/>
      <c r="C86" s="146"/>
      <c r="D86" s="146"/>
      <c r="E86" s="146"/>
      <c r="F86" s="23" t="s">
        <v>46</v>
      </c>
      <c r="G86" s="23"/>
      <c r="H86" s="301">
        <f>H44</f>
        <v>3.2830000000000001E-4</v>
      </c>
      <c r="I86" s="23"/>
      <c r="J86" s="302">
        <f>J44</f>
        <v>3.0516000000000001E-4</v>
      </c>
      <c r="K86" s="23" t="s">
        <v>303</v>
      </c>
      <c r="L86" s="24" t="s">
        <v>304</v>
      </c>
    </row>
    <row r="87" spans="2:12" x14ac:dyDescent="0.25">
      <c r="B87" s="145"/>
      <c r="C87" s="146"/>
      <c r="D87" s="146"/>
      <c r="E87" s="146"/>
      <c r="F87" s="32">
        <v>45473</v>
      </c>
      <c r="G87" s="39"/>
      <c r="H87" s="39" t="s">
        <v>47</v>
      </c>
      <c r="I87" s="39"/>
      <c r="J87" s="39" t="s">
        <v>48</v>
      </c>
      <c r="K87" s="39" t="s">
        <v>306</v>
      </c>
      <c r="L87" s="25" t="s">
        <v>306</v>
      </c>
    </row>
    <row r="88" spans="2:12" ht="4.5" customHeight="1" x14ac:dyDescent="0.25">
      <c r="B88" s="145"/>
      <c r="C88" s="146"/>
      <c r="D88" s="146"/>
      <c r="E88" s="146"/>
      <c r="F88" s="32"/>
      <c r="G88" s="39"/>
      <c r="H88" s="39"/>
      <c r="I88" s="39"/>
      <c r="J88" s="39"/>
      <c r="K88" s="39"/>
      <c r="L88" s="25"/>
    </row>
    <row r="89" spans="2:12" s="147" customFormat="1" ht="18.75" customHeight="1" x14ac:dyDescent="0.25">
      <c r="B89" s="145"/>
      <c r="C89" s="146"/>
      <c r="D89" s="146"/>
      <c r="E89" s="146"/>
      <c r="F89" s="209">
        <v>0</v>
      </c>
      <c r="G89" s="217"/>
      <c r="H89" s="206">
        <f>H86*F89</f>
        <v>0</v>
      </c>
      <c r="I89" s="217"/>
      <c r="J89" s="206">
        <f>J86*F89</f>
        <v>0</v>
      </c>
      <c r="K89" s="206">
        <f>J89-H89</f>
        <v>0</v>
      </c>
      <c r="L89" s="218"/>
    </row>
    <row r="90" spans="2:12" x14ac:dyDescent="0.25">
      <c r="B90" s="378" t="s">
        <v>307</v>
      </c>
      <c r="C90" s="379"/>
      <c r="D90" s="379"/>
      <c r="E90" s="146"/>
      <c r="F90" s="219">
        <f>H35</f>
        <v>594061081</v>
      </c>
      <c r="G90" s="219"/>
      <c r="H90" s="219">
        <f>H86*F90</f>
        <v>195030.25289230002</v>
      </c>
      <c r="I90" s="219"/>
      <c r="J90" s="219">
        <f>J86*F90</f>
        <v>181283.67947796002</v>
      </c>
      <c r="K90" s="219">
        <f>J90-H90</f>
        <v>-13746.573414340004</v>
      </c>
      <c r="L90" s="220"/>
    </row>
    <row r="91" spans="2:12" x14ac:dyDescent="0.25">
      <c r="B91" s="378" t="s">
        <v>845</v>
      </c>
      <c r="C91" s="379"/>
      <c r="D91" s="379"/>
      <c r="E91" s="146"/>
      <c r="F91" s="219">
        <f>H37</f>
        <v>-4047977</v>
      </c>
      <c r="G91" s="219"/>
      <c r="H91" s="219">
        <f>H86*F91</f>
        <v>-1328.9508491000001</v>
      </c>
      <c r="I91" s="219"/>
      <c r="J91" s="219">
        <f>J86*F91</f>
        <v>-1235.28066132</v>
      </c>
      <c r="K91" s="219"/>
      <c r="L91" s="220">
        <f>J91-H91</f>
        <v>93.670187780000106</v>
      </c>
    </row>
    <row r="92" spans="2:12" x14ac:dyDescent="0.25">
      <c r="B92" s="378" t="s">
        <v>308</v>
      </c>
      <c r="C92" s="379"/>
      <c r="D92" s="379"/>
      <c r="E92" s="146"/>
      <c r="F92" s="219">
        <f>H36</f>
        <v>508723896</v>
      </c>
      <c r="G92" s="219"/>
      <c r="H92" s="219">
        <f>H86*F92</f>
        <v>167014.05505680002</v>
      </c>
      <c r="I92" s="219"/>
      <c r="J92" s="219">
        <f>J86*F92</f>
        <v>155242.18410335999</v>
      </c>
      <c r="K92" s="219"/>
      <c r="L92" s="220">
        <f>J92-H92</f>
        <v>-11771.870953440026</v>
      </c>
    </row>
    <row r="93" spans="2:12" s="147" customFormat="1" x14ac:dyDescent="0.25">
      <c r="B93" s="145"/>
      <c r="C93" s="146"/>
      <c r="D93" s="146"/>
      <c r="E93" s="146"/>
      <c r="F93" s="14"/>
      <c r="G93" s="14"/>
      <c r="H93" s="160" t="s">
        <v>310</v>
      </c>
      <c r="I93" s="14"/>
      <c r="J93" s="14"/>
      <c r="K93" s="202">
        <f>SUM(K89:K92)</f>
        <v>-13746.573414340004</v>
      </c>
      <c r="L93" s="204">
        <f>SUM(L89:L92)</f>
        <v>-11678.200765660025</v>
      </c>
    </row>
    <row r="94" spans="2:12" ht="6" customHeight="1" x14ac:dyDescent="0.25">
      <c r="B94" s="145"/>
      <c r="C94" s="146"/>
      <c r="D94" s="146"/>
      <c r="E94" s="146"/>
      <c r="F94" s="14"/>
      <c r="G94" s="14"/>
      <c r="H94" s="14"/>
      <c r="I94" s="14"/>
      <c r="J94" s="14"/>
      <c r="K94" s="219"/>
      <c r="L94" s="220"/>
    </row>
    <row r="95" spans="2:12" ht="17.399999999999999" thickBot="1" x14ac:dyDescent="0.45">
      <c r="B95" s="148"/>
      <c r="C95" s="149"/>
      <c r="D95" s="149"/>
      <c r="E95" s="149"/>
      <c r="F95" s="407" t="s">
        <v>49</v>
      </c>
      <c r="G95" s="407"/>
      <c r="H95" s="407"/>
      <c r="I95" s="407"/>
      <c r="J95" s="407"/>
      <c r="K95" s="221">
        <f>IF(L93&gt;K93,L93-K93,0)</f>
        <v>2068.3726486799787</v>
      </c>
      <c r="L95" s="222">
        <f>IF(K93&gt;L93,K93-L93,0)</f>
        <v>0</v>
      </c>
    </row>
    <row r="96" spans="2:12" ht="7.5" customHeight="1" x14ac:dyDescent="0.25"/>
    <row r="97" spans="2:12" x14ac:dyDescent="0.25">
      <c r="D97" s="2" t="s">
        <v>311</v>
      </c>
      <c r="I97" s="41" t="s">
        <v>50</v>
      </c>
      <c r="J97" s="223">
        <f>IF(K95&gt;0,K95/J27,-L95/J27)</f>
        <v>482.13814654544956</v>
      </c>
    </row>
    <row r="98" spans="2:12" x14ac:dyDescent="0.25">
      <c r="D98" s="2" t="s">
        <v>51</v>
      </c>
      <c r="I98" s="41" t="s">
        <v>50</v>
      </c>
      <c r="J98" s="223">
        <f>IF(J97&gt;0,K95-J97,-L95-J97)</f>
        <v>1586.2345021345291</v>
      </c>
    </row>
    <row r="99" spans="2:12" ht="15.6" thickBot="1" x14ac:dyDescent="0.3"/>
    <row r="100" spans="2:12" ht="16.2" thickBot="1" x14ac:dyDescent="0.35">
      <c r="C100" s="374" t="s">
        <v>52</v>
      </c>
      <c r="D100" s="375"/>
      <c r="F100" s="42" t="s">
        <v>53</v>
      </c>
    </row>
    <row r="101" spans="2:12" x14ac:dyDescent="0.25">
      <c r="D101" s="2" t="s">
        <v>54</v>
      </c>
    </row>
    <row r="102" spans="2:12" s="154" customFormat="1" ht="5.25" customHeight="1" x14ac:dyDescent="0.25"/>
    <row r="103" spans="2:12" ht="15.6" x14ac:dyDescent="0.3">
      <c r="C103" s="43" t="s">
        <v>55</v>
      </c>
      <c r="D103" s="2" t="s">
        <v>326</v>
      </c>
      <c r="E103" s="43"/>
    </row>
    <row r="104" spans="2:12" s="154" customFormat="1" ht="6" customHeight="1" x14ac:dyDescent="0.3">
      <c r="C104" s="43"/>
      <c r="E104" s="43"/>
    </row>
    <row r="105" spans="2:12" s="154" customFormat="1" ht="15.6" x14ac:dyDescent="0.3">
      <c r="B105" s="385" t="s">
        <v>927</v>
      </c>
      <c r="C105" s="385"/>
      <c r="D105" s="385"/>
      <c r="E105" s="385"/>
      <c r="F105" s="385"/>
      <c r="H105" s="226">
        <f>'Contributions &amp; Covered Payroll'!T23</f>
        <v>27238.5</v>
      </c>
      <c r="J105" s="386" t="s">
        <v>928</v>
      </c>
      <c r="K105" s="386"/>
      <c r="L105" s="386"/>
    </row>
    <row r="106" spans="2:12" s="154" customFormat="1" ht="8.25" customHeight="1" x14ac:dyDescent="0.3">
      <c r="C106" s="43"/>
      <c r="E106" s="43"/>
      <c r="H106" s="232"/>
    </row>
    <row r="107" spans="2:12" ht="15.75" customHeight="1" x14ac:dyDescent="0.3">
      <c r="B107" s="385" t="s">
        <v>929</v>
      </c>
      <c r="C107" s="385"/>
      <c r="D107" s="385"/>
      <c r="E107" s="385"/>
      <c r="F107" s="385"/>
      <c r="H107" s="226">
        <f>'Contributions &amp; Covered Payroll'!V15</f>
        <v>27238.5</v>
      </c>
      <c r="J107" s="386"/>
      <c r="K107" s="386"/>
      <c r="L107" s="386"/>
    </row>
    <row r="108" spans="2:12" ht="6.75" customHeight="1" x14ac:dyDescent="0.3">
      <c r="B108" s="44"/>
      <c r="C108" s="44"/>
      <c r="D108" s="44"/>
      <c r="E108" s="44"/>
      <c r="F108" s="44"/>
      <c r="H108" s="226"/>
      <c r="J108" s="36"/>
      <c r="K108" s="36"/>
      <c r="L108" s="36"/>
    </row>
    <row r="109" spans="2:12" ht="15.75" customHeight="1" x14ac:dyDescent="0.3">
      <c r="B109" s="385" t="s">
        <v>930</v>
      </c>
      <c r="C109" s="385"/>
      <c r="D109" s="385"/>
      <c r="E109" s="385"/>
      <c r="F109" s="385"/>
      <c r="H109" s="226">
        <f>'Contributions &amp; Covered Payroll'!V23</f>
        <v>27783.24</v>
      </c>
      <c r="J109" s="382" t="s">
        <v>56</v>
      </c>
      <c r="K109" s="382"/>
      <c r="L109" s="382"/>
    </row>
    <row r="110" spans="2:12" ht="15.6" x14ac:dyDescent="0.3">
      <c r="H110" s="382" t="s">
        <v>57</v>
      </c>
      <c r="I110" s="382"/>
      <c r="J110" s="382"/>
      <c r="K110" s="382"/>
      <c r="L110" s="382"/>
    </row>
    <row r="111" spans="2:12" ht="15.6" x14ac:dyDescent="0.3">
      <c r="D111" s="45"/>
      <c r="H111" s="382" t="s">
        <v>58</v>
      </c>
      <c r="I111" s="382"/>
      <c r="J111" s="382"/>
      <c r="K111" s="382"/>
      <c r="L111" s="382"/>
    </row>
    <row r="112" spans="2:12" ht="15.6" x14ac:dyDescent="0.3">
      <c r="H112" s="383" t="s">
        <v>59</v>
      </c>
      <c r="I112" s="383"/>
      <c r="J112" s="383"/>
      <c r="K112" s="383"/>
      <c r="L112" s="383"/>
    </row>
    <row r="113" spans="1:12" ht="15.6" x14ac:dyDescent="0.3">
      <c r="H113" s="46"/>
      <c r="I113" s="46"/>
      <c r="J113" s="46"/>
      <c r="K113" s="46"/>
      <c r="L113" s="46"/>
    </row>
    <row r="114" spans="1:12" x14ac:dyDescent="0.25">
      <c r="B114" s="74" t="s">
        <v>120</v>
      </c>
      <c r="D114" s="74"/>
    </row>
    <row r="115" spans="1:12" ht="7.5" customHeight="1" thickBot="1" x14ac:dyDescent="0.35">
      <c r="H115" s="46"/>
      <c r="I115" s="46"/>
      <c r="J115" s="46"/>
      <c r="K115" s="46"/>
      <c r="L115" s="46"/>
    </row>
    <row r="116" spans="1:12" ht="15.6" x14ac:dyDescent="0.3">
      <c r="B116" s="10"/>
      <c r="C116" s="11"/>
      <c r="D116" s="11"/>
      <c r="E116" s="11"/>
      <c r="F116" s="21"/>
      <c r="G116" s="21"/>
      <c r="H116" s="21" t="s">
        <v>30</v>
      </c>
      <c r="I116" s="21"/>
      <c r="J116" s="47"/>
      <c r="K116" s="48"/>
    </row>
    <row r="117" spans="1:12" ht="15.6" x14ac:dyDescent="0.3">
      <c r="B117" s="26"/>
      <c r="C117" s="13"/>
      <c r="D117" s="13"/>
      <c r="E117" s="13"/>
      <c r="F117" s="23"/>
      <c r="G117" s="23"/>
      <c r="H117" s="23" t="s">
        <v>45</v>
      </c>
      <c r="I117" s="23"/>
      <c r="J117" s="23" t="s">
        <v>9</v>
      </c>
      <c r="K117" s="49"/>
    </row>
    <row r="118" spans="1:12" x14ac:dyDescent="0.25">
      <c r="B118" s="26"/>
      <c r="C118" s="13"/>
      <c r="D118" s="13"/>
      <c r="E118" s="13"/>
      <c r="F118" s="23" t="s">
        <v>44</v>
      </c>
      <c r="G118" s="23"/>
      <c r="H118" s="302">
        <f>J38</f>
        <v>3.0516000000000001E-4</v>
      </c>
      <c r="I118" s="23"/>
      <c r="J118" s="23" t="s">
        <v>15</v>
      </c>
      <c r="K118" s="24" t="s">
        <v>60</v>
      </c>
    </row>
    <row r="119" spans="1:12" x14ac:dyDescent="0.25">
      <c r="B119" s="26"/>
      <c r="C119" s="13"/>
      <c r="D119" s="13"/>
      <c r="E119" s="13"/>
      <c r="F119" s="39" t="s">
        <v>61</v>
      </c>
      <c r="G119" s="39"/>
      <c r="H119" s="39" t="s">
        <v>47</v>
      </c>
      <c r="I119" s="39"/>
      <c r="J119" s="39" t="s">
        <v>48</v>
      </c>
      <c r="K119" s="25" t="s">
        <v>62</v>
      </c>
    </row>
    <row r="120" spans="1:12" ht="6" customHeight="1" x14ac:dyDescent="0.25">
      <c r="B120" s="26"/>
      <c r="C120" s="13"/>
      <c r="D120" s="13"/>
      <c r="E120" s="13"/>
      <c r="F120" s="39"/>
      <c r="G120" s="39"/>
      <c r="H120" s="39"/>
      <c r="I120" s="39"/>
      <c r="J120" s="39"/>
      <c r="K120" s="25"/>
    </row>
    <row r="121" spans="1:12" x14ac:dyDescent="0.25">
      <c r="B121" s="378" t="s">
        <v>63</v>
      </c>
      <c r="C121" s="379"/>
      <c r="D121" s="379"/>
      <c r="E121" s="13"/>
      <c r="F121" s="224">
        <f>J42</f>
        <v>178517209</v>
      </c>
      <c r="G121" s="50"/>
      <c r="H121" s="224">
        <f>(F121*H118)</f>
        <v>54476.311498440002</v>
      </c>
      <c r="I121" s="50"/>
      <c r="J121" s="224">
        <f>H105+H107</f>
        <v>54477</v>
      </c>
      <c r="K121" s="225">
        <f>J121-ROUND(H121,2)</f>
        <v>0.69000000000232831</v>
      </c>
    </row>
    <row r="122" spans="1:12" ht="6.75" customHeight="1" thickBot="1" x14ac:dyDescent="0.3">
      <c r="B122" s="40"/>
      <c r="C122" s="17"/>
      <c r="D122" s="17"/>
      <c r="E122" s="17"/>
      <c r="F122" s="17"/>
      <c r="G122" s="17"/>
      <c r="H122" s="17"/>
      <c r="I122" s="17"/>
      <c r="J122" s="17"/>
      <c r="K122" s="51"/>
    </row>
    <row r="123" spans="1:12" ht="7.5" customHeight="1" x14ac:dyDescent="0.25"/>
    <row r="124" spans="1:12" x14ac:dyDescent="0.25">
      <c r="D124" s="384" t="s">
        <v>318</v>
      </c>
      <c r="E124" s="384"/>
      <c r="F124" s="384"/>
      <c r="G124" s="384"/>
      <c r="H124" s="384"/>
      <c r="I124" s="384"/>
      <c r="J124" s="384"/>
      <c r="K124" s="226">
        <f>K121/J27</f>
        <v>0.16083916083970357</v>
      </c>
      <c r="L124" s="16"/>
    </row>
    <row r="125" spans="1:12" x14ac:dyDescent="0.25">
      <c r="D125" s="384" t="s">
        <v>317</v>
      </c>
      <c r="E125" s="384"/>
      <c r="F125" s="384"/>
      <c r="G125" s="384"/>
      <c r="H125" s="384"/>
      <c r="I125" s="384"/>
      <c r="J125" s="384"/>
      <c r="K125" s="227">
        <f>K121-K124</f>
        <v>0.5291608391626248</v>
      </c>
      <c r="L125" s="52"/>
    </row>
    <row r="126" spans="1:12" ht="15.6" thickBot="1" x14ac:dyDescent="0.3"/>
    <row r="127" spans="1:12" s="1" customFormat="1" ht="16.2" thickBot="1" x14ac:dyDescent="0.35">
      <c r="A127" s="35" t="s">
        <v>64</v>
      </c>
      <c r="B127" s="31"/>
      <c r="D127" s="1" t="s">
        <v>65</v>
      </c>
    </row>
    <row r="128" spans="1:12" ht="15.6" thickBot="1" x14ac:dyDescent="0.3"/>
    <row r="129" spans="1:11" x14ac:dyDescent="0.25">
      <c r="B129" s="10"/>
      <c r="C129" s="11"/>
      <c r="D129" s="11"/>
      <c r="E129" s="11"/>
      <c r="F129" s="11"/>
      <c r="G129" s="11"/>
      <c r="H129" s="21" t="s">
        <v>66</v>
      </c>
      <c r="I129" s="21"/>
      <c r="J129" s="22" t="s">
        <v>312</v>
      </c>
    </row>
    <row r="130" spans="1:11" x14ac:dyDescent="0.25">
      <c r="B130" s="26"/>
      <c r="C130" s="13"/>
      <c r="D130" s="13"/>
      <c r="E130" s="13"/>
      <c r="F130" s="13"/>
      <c r="G130" s="13"/>
      <c r="H130" s="23" t="s">
        <v>67</v>
      </c>
      <c r="I130" s="23"/>
      <c r="J130" s="24" t="s">
        <v>313</v>
      </c>
    </row>
    <row r="131" spans="1:11" x14ac:dyDescent="0.25">
      <c r="B131" s="26"/>
      <c r="C131" s="13"/>
      <c r="D131" s="13"/>
      <c r="E131" s="13"/>
      <c r="F131" s="13"/>
      <c r="G131" s="13"/>
      <c r="H131" s="23" t="s">
        <v>68</v>
      </c>
      <c r="I131" s="23"/>
      <c r="J131" s="24" t="s">
        <v>314</v>
      </c>
    </row>
    <row r="132" spans="1:11" ht="6.75" customHeight="1" x14ac:dyDescent="0.25">
      <c r="B132" s="26"/>
      <c r="C132" s="13"/>
      <c r="D132" s="13"/>
      <c r="E132" s="13"/>
      <c r="F132" s="13"/>
      <c r="G132" s="13"/>
      <c r="H132" s="13"/>
      <c r="I132" s="13"/>
      <c r="J132" s="53"/>
    </row>
    <row r="133" spans="1:11" ht="15.75" customHeight="1" x14ac:dyDescent="0.25">
      <c r="B133" s="380" t="s">
        <v>69</v>
      </c>
      <c r="C133" s="381"/>
      <c r="D133" s="381"/>
      <c r="E133" s="381"/>
      <c r="F133" s="381"/>
      <c r="G133" s="13"/>
      <c r="H133" s="228">
        <f>J98</f>
        <v>1586.2345021345291</v>
      </c>
      <c r="I133" s="228"/>
      <c r="J133" s="229">
        <f>J97</f>
        <v>482.13814654544956</v>
      </c>
    </row>
    <row r="134" spans="1:11" ht="15.75" customHeight="1" x14ac:dyDescent="0.3">
      <c r="B134" s="380" t="s">
        <v>70</v>
      </c>
      <c r="C134" s="381"/>
      <c r="D134" s="381"/>
      <c r="E134" s="381"/>
      <c r="F134" s="381"/>
      <c r="G134" s="13"/>
      <c r="H134" s="224">
        <v>0</v>
      </c>
      <c r="I134" s="228"/>
      <c r="J134" s="225">
        <v>0</v>
      </c>
      <c r="K134" s="153" t="s">
        <v>323</v>
      </c>
    </row>
    <row r="135" spans="1:11" ht="15.6" thickBot="1" x14ac:dyDescent="0.3">
      <c r="B135" s="380" t="s">
        <v>71</v>
      </c>
      <c r="C135" s="381"/>
      <c r="D135" s="381"/>
      <c r="E135" s="381"/>
      <c r="F135" s="381"/>
      <c r="G135" s="13"/>
      <c r="H135" s="230">
        <f>SUM(H133:H134)</f>
        <v>1586.2345021345291</v>
      </c>
      <c r="I135" s="228"/>
      <c r="J135" s="231">
        <f>SUM(J133:J134)</f>
        <v>482.13814654544956</v>
      </c>
    </row>
    <row r="136" spans="1:11" ht="16.2" thickTop="1" thickBot="1" x14ac:dyDescent="0.3">
      <c r="B136" s="40"/>
      <c r="C136" s="17"/>
      <c r="D136" s="17"/>
      <c r="E136" s="17"/>
      <c r="F136" s="17"/>
      <c r="G136" s="17"/>
      <c r="H136" s="18"/>
      <c r="I136" s="18"/>
      <c r="J136" s="54"/>
    </row>
    <row r="137" spans="1:11" ht="15.6" thickBot="1" x14ac:dyDescent="0.3"/>
    <row r="138" spans="1:11" s="1" customFormat="1" ht="16.2" thickBot="1" x14ac:dyDescent="0.35">
      <c r="A138" s="35" t="s">
        <v>72</v>
      </c>
      <c r="B138" s="1" t="s">
        <v>147</v>
      </c>
    </row>
    <row r="139" spans="1:11" s="144" customFormat="1" ht="15.6" x14ac:dyDescent="0.3">
      <c r="A139" s="163" t="s">
        <v>300</v>
      </c>
    </row>
    <row r="140" spans="1:11" s="144" customFormat="1" ht="15.6" x14ac:dyDescent="0.3">
      <c r="A140" s="163" t="s">
        <v>301</v>
      </c>
      <c r="H140" s="4" t="s">
        <v>73</v>
      </c>
      <c r="I140" s="4"/>
      <c r="J140" s="4" t="s">
        <v>74</v>
      </c>
    </row>
    <row r="141" spans="1:11" s="1" customFormat="1" ht="5.25" customHeight="1" x14ac:dyDescent="0.3"/>
    <row r="142" spans="1:11" ht="15" customHeight="1" x14ac:dyDescent="0.25">
      <c r="A142" s="2" t="s">
        <v>75</v>
      </c>
      <c r="H142" s="280">
        <f>F53</f>
        <v>1328.9508491000001</v>
      </c>
      <c r="I142" s="280"/>
      <c r="J142" s="280"/>
    </row>
    <row r="143" spans="1:11" ht="15" customHeight="1" x14ac:dyDescent="0.25">
      <c r="A143" s="2" t="s">
        <v>76</v>
      </c>
      <c r="H143" s="280">
        <f>F54</f>
        <v>195030.25289230002</v>
      </c>
      <c r="I143" s="280"/>
      <c r="J143" s="280"/>
    </row>
    <row r="144" spans="1:11" s="154" customFormat="1" ht="15" customHeight="1" x14ac:dyDescent="0.25">
      <c r="A144" s="154" t="s">
        <v>319</v>
      </c>
      <c r="H144" s="280"/>
      <c r="I144" s="280"/>
      <c r="J144" s="280">
        <f>F55</f>
        <v>0</v>
      </c>
    </row>
    <row r="145" spans="1:10" ht="15" customHeight="1" x14ac:dyDescent="0.25">
      <c r="A145" s="2" t="s">
        <v>77</v>
      </c>
      <c r="H145" s="280"/>
      <c r="I145" s="280"/>
      <c r="J145" s="280">
        <f>F56</f>
        <v>167014.05505680002</v>
      </c>
    </row>
    <row r="146" spans="1:10" x14ac:dyDescent="0.25">
      <c r="A146" s="2" t="s">
        <v>78</v>
      </c>
      <c r="H146" s="280"/>
      <c r="I146" s="280"/>
      <c r="J146" s="280">
        <f>H142+H143-J144-J145</f>
        <v>29345.14868459999</v>
      </c>
    </row>
    <row r="147" spans="1:10" ht="5.25" customHeight="1" x14ac:dyDescent="0.25">
      <c r="H147" s="284"/>
      <c r="I147" s="284"/>
      <c r="J147" s="284"/>
    </row>
    <row r="148" spans="1:10" ht="13.5" customHeight="1" x14ac:dyDescent="0.25">
      <c r="A148" s="2" t="s">
        <v>148</v>
      </c>
      <c r="H148" s="284"/>
      <c r="I148" s="284"/>
      <c r="J148" s="284"/>
    </row>
    <row r="149" spans="1:10" x14ac:dyDescent="0.25">
      <c r="H149" s="284"/>
      <c r="I149" s="284"/>
      <c r="J149" s="284"/>
    </row>
    <row r="150" spans="1:10" x14ac:dyDescent="0.25">
      <c r="A150" s="2" t="s">
        <v>896</v>
      </c>
      <c r="H150" s="280">
        <f>H105</f>
        <v>27238.5</v>
      </c>
      <c r="I150" s="280"/>
      <c r="J150" s="280"/>
    </row>
    <row r="151" spans="1:10" x14ac:dyDescent="0.25">
      <c r="A151" s="2" t="s">
        <v>79</v>
      </c>
      <c r="H151" s="280"/>
      <c r="I151" s="280"/>
      <c r="J151" s="280">
        <f>H150</f>
        <v>27238.5</v>
      </c>
    </row>
    <row r="152" spans="1:10" ht="4.5" customHeight="1" x14ac:dyDescent="0.25">
      <c r="H152" s="284"/>
      <c r="I152" s="284"/>
      <c r="J152" s="284"/>
    </row>
    <row r="153" spans="1:10" x14ac:dyDescent="0.25">
      <c r="A153" s="2" t="s">
        <v>80</v>
      </c>
      <c r="H153" s="284"/>
      <c r="I153" s="284"/>
      <c r="J153" s="284"/>
    </row>
    <row r="154" spans="1:10" x14ac:dyDescent="0.25">
      <c r="A154" s="2" t="s">
        <v>775</v>
      </c>
      <c r="H154" s="284"/>
      <c r="I154" s="284"/>
      <c r="J154" s="284"/>
    </row>
    <row r="155" spans="1:10" s="199" customFormat="1" x14ac:dyDescent="0.25">
      <c r="A155" s="199" t="s">
        <v>774</v>
      </c>
      <c r="H155" s="284"/>
      <c r="I155" s="284"/>
      <c r="J155" s="284"/>
    </row>
    <row r="156" spans="1:10" x14ac:dyDescent="0.25">
      <c r="H156" s="284"/>
      <c r="I156" s="284"/>
      <c r="J156" s="284"/>
    </row>
    <row r="157" spans="1:10" s="282" customFormat="1" x14ac:dyDescent="0.25">
      <c r="A157" s="282" t="s">
        <v>85</v>
      </c>
      <c r="H157" s="280">
        <f>IF('Change in Proportionate Share'!M41&gt;0,'Change in Proportionate Share'!M41,0)</f>
        <v>12596.84</v>
      </c>
      <c r="I157" s="280"/>
      <c r="J157" s="280"/>
    </row>
    <row r="158" spans="1:10" s="282" customFormat="1" x14ac:dyDescent="0.25">
      <c r="A158" s="282" t="s">
        <v>87</v>
      </c>
      <c r="H158" s="281"/>
      <c r="I158" s="281"/>
      <c r="J158" s="280">
        <f>IF('Change in Proportionate Share'!M62&lt;0,-'Change in Proportionate Share'!M62,0)</f>
        <v>1369.58</v>
      </c>
    </row>
    <row r="159" spans="1:10" s="282" customFormat="1" x14ac:dyDescent="0.25">
      <c r="A159" s="282" t="s">
        <v>78</v>
      </c>
      <c r="H159" s="280">
        <f>IF(J158&gt;H157,J158-H157,0)</f>
        <v>0</v>
      </c>
      <c r="I159" s="281"/>
      <c r="J159" s="280">
        <f>IF(H157&gt;J158,H157-J158,0)</f>
        <v>11227.26</v>
      </c>
    </row>
    <row r="160" spans="1:10" s="282" customFormat="1" ht="7.5" customHeight="1" x14ac:dyDescent="0.25"/>
    <row r="161" spans="1:10" s="154" customFormat="1" x14ac:dyDescent="0.25">
      <c r="A161" s="154" t="s">
        <v>324</v>
      </c>
      <c r="H161" s="282"/>
      <c r="I161" s="282"/>
      <c r="J161" s="282"/>
    </row>
    <row r="162" spans="1:10" s="154" customFormat="1" x14ac:dyDescent="0.25">
      <c r="A162" s="154" t="s">
        <v>325</v>
      </c>
      <c r="H162" s="282"/>
      <c r="I162" s="282"/>
      <c r="J162" s="282"/>
    </row>
    <row r="163" spans="1:10" s="154" customFormat="1" ht="15.6" thickBot="1" x14ac:dyDescent="0.3">
      <c r="H163" s="282"/>
      <c r="I163" s="282"/>
      <c r="J163" s="282"/>
    </row>
    <row r="164" spans="1:10" s="1" customFormat="1" ht="16.2" thickBot="1" x14ac:dyDescent="0.35">
      <c r="A164" s="35" t="s">
        <v>81</v>
      </c>
      <c r="B164" s="1" t="s">
        <v>931</v>
      </c>
      <c r="H164" s="304"/>
      <c r="I164" s="304"/>
      <c r="J164" s="304"/>
    </row>
    <row r="165" spans="1:10" x14ac:dyDescent="0.25">
      <c r="H165" s="305" t="s">
        <v>73</v>
      </c>
      <c r="I165" s="305"/>
      <c r="J165" s="305" t="s">
        <v>74</v>
      </c>
    </row>
    <row r="166" spans="1:10" ht="6" customHeight="1" x14ac:dyDescent="0.25">
      <c r="H166" s="305"/>
      <c r="I166" s="305"/>
      <c r="J166" s="305"/>
    </row>
    <row r="167" spans="1:10" s="282" customFormat="1" x14ac:dyDescent="0.25">
      <c r="A167" s="282" t="s">
        <v>85</v>
      </c>
      <c r="H167" s="280"/>
      <c r="I167" s="280"/>
      <c r="J167" s="280">
        <f>'Change in Proportionate Share'!N27+'Change in Proportionate Share'!N28+'Change in Proportionate Share'!N29+'Change in Proportionate Share'!N30+'Change in Proportionate Share'!N31+'Change in Proportionate Share'!N32+'Change in Proportionate Share'!N33+'Change in Proportionate Share'!N34+'Change in Proportionate Share'!N35+'Change in Proportionate Share'!N36</f>
        <v>4234.08</v>
      </c>
    </row>
    <row r="168" spans="1:10" s="282" customFormat="1" x14ac:dyDescent="0.25">
      <c r="A168" s="282" t="s">
        <v>86</v>
      </c>
      <c r="H168" s="280">
        <f>IF(J167+J169&gt;H167+H169,J167+J169-H167-H169,0)</f>
        <v>3248.7599999999998</v>
      </c>
      <c r="I168" s="280"/>
      <c r="J168" s="280">
        <f>IF(H167+H169&gt;J167+J169, H167+H169-J167-J169,0)</f>
        <v>0</v>
      </c>
    </row>
    <row r="169" spans="1:10" s="282" customFormat="1" x14ac:dyDescent="0.25">
      <c r="A169" s="282" t="s">
        <v>87</v>
      </c>
      <c r="H169" s="280">
        <f>-'Change in Proportionate Share'!N48+-'Change in Proportionate Share'!N49+-'Change in Proportionate Share'!N50+-'Change in Proportionate Share'!N51+-'Change in Proportionate Share'!N52+-'Change in Proportionate Share'!N53+-'Change in Proportionate Share'!N54+-'Change in Proportionate Share'!N55+-'Change in Proportionate Share'!N56+-'Change in Proportionate Share'!N57</f>
        <v>985.32</v>
      </c>
      <c r="I169" s="281"/>
      <c r="J169" s="280"/>
    </row>
    <row r="170" spans="1:10" s="282" customFormat="1" ht="7.5" customHeight="1" x14ac:dyDescent="0.25"/>
    <row r="171" spans="1:10" s="166" customFormat="1" x14ac:dyDescent="0.25">
      <c r="A171" s="166" t="s">
        <v>89</v>
      </c>
      <c r="H171" s="282"/>
      <c r="I171" s="282"/>
      <c r="J171" s="282"/>
    </row>
    <row r="172" spans="1:10" s="166" customFormat="1" ht="15.6" x14ac:dyDescent="0.3">
      <c r="A172" s="166" t="s">
        <v>791</v>
      </c>
      <c r="H172" s="282"/>
      <c r="I172" s="282"/>
      <c r="J172" s="282"/>
    </row>
    <row r="173" spans="1:10" s="166" customFormat="1" x14ac:dyDescent="0.25">
      <c r="H173" s="282"/>
      <c r="I173" s="282"/>
      <c r="J173" s="282"/>
    </row>
    <row r="174" spans="1:10" s="154" customFormat="1" ht="17.25" customHeight="1" x14ac:dyDescent="0.25">
      <c r="A174" s="154" t="s">
        <v>320</v>
      </c>
      <c r="H174" s="279">
        <f>IF(J53&gt;0,J53,0)</f>
        <v>1266.4907951800001</v>
      </c>
      <c r="I174" s="283"/>
      <c r="J174" s="279">
        <f>IF(J53&lt;0,-J53,0)</f>
        <v>0</v>
      </c>
    </row>
    <row r="175" spans="1:10" x14ac:dyDescent="0.25">
      <c r="A175" s="2" t="s">
        <v>82</v>
      </c>
      <c r="H175" s="279">
        <f>IF(J54&gt;0,J54,0)</f>
        <v>20287.073956339998</v>
      </c>
      <c r="I175" s="283"/>
      <c r="J175" s="279">
        <f>IF(J54&lt;0,-J54,0)</f>
        <v>0</v>
      </c>
    </row>
    <row r="176" spans="1:10" s="154" customFormat="1" x14ac:dyDescent="0.25">
      <c r="A176" s="154" t="s">
        <v>321</v>
      </c>
      <c r="H176" s="279">
        <f>IF(K55&lt;0,-K55,0)</f>
        <v>0</v>
      </c>
      <c r="I176" s="283"/>
      <c r="J176" s="279">
        <f>IF(K55&gt;0,K55,0)</f>
        <v>0</v>
      </c>
    </row>
    <row r="177" spans="1:10" x14ac:dyDescent="0.25">
      <c r="A177" s="2" t="s">
        <v>322</v>
      </c>
      <c r="H177" s="279">
        <f>IF(K56&lt;0,-K56,0)</f>
        <v>29245.834541640012</v>
      </c>
      <c r="I177" s="283"/>
      <c r="J177" s="279">
        <f>IF(K56&gt;0,K56,0)</f>
        <v>0</v>
      </c>
    </row>
    <row r="178" spans="1:10" x14ac:dyDescent="0.25">
      <c r="A178" s="2" t="s">
        <v>83</v>
      </c>
      <c r="H178" s="280">
        <f>IF(J61&gt;0,J61,0)</f>
        <v>0</v>
      </c>
      <c r="I178" s="280"/>
      <c r="J178" s="280">
        <f>IF(J61&lt;0,-J61,0)</f>
        <v>52964.294965320005</v>
      </c>
    </row>
    <row r="179" spans="1:10" ht="5.25" customHeight="1" x14ac:dyDescent="0.25">
      <c r="H179" s="284"/>
      <c r="I179" s="284"/>
      <c r="J179" s="284"/>
    </row>
    <row r="180" spans="1:10" ht="15.75" customHeight="1" x14ac:dyDescent="0.25">
      <c r="A180" s="2" t="s">
        <v>84</v>
      </c>
      <c r="H180" s="282"/>
      <c r="I180" s="282"/>
      <c r="J180" s="282"/>
    </row>
    <row r="181" spans="1:10" ht="15.6" x14ac:dyDescent="0.3">
      <c r="A181" s="2" t="s">
        <v>776</v>
      </c>
      <c r="H181" s="282"/>
      <c r="I181" s="282"/>
      <c r="J181" s="282"/>
    </row>
    <row r="182" spans="1:10" s="364" customFormat="1" x14ac:dyDescent="0.25">
      <c r="A182" s="9"/>
      <c r="H182" s="282"/>
      <c r="I182" s="282"/>
      <c r="J182" s="282"/>
    </row>
    <row r="183" spans="1:10" s="282" customFormat="1" x14ac:dyDescent="0.25">
      <c r="A183" s="282" t="s">
        <v>85</v>
      </c>
      <c r="H183" s="280">
        <f>IF(H135&gt;0,H135,0)</f>
        <v>1586.2345021345291</v>
      </c>
      <c r="I183" s="280"/>
      <c r="J183" s="280"/>
    </row>
    <row r="184" spans="1:10" s="282" customFormat="1" x14ac:dyDescent="0.25">
      <c r="A184" s="282" t="s">
        <v>86</v>
      </c>
      <c r="H184" s="280">
        <f>IF(J135&gt;0,J135,0)</f>
        <v>482.13814654544956</v>
      </c>
      <c r="I184" s="280"/>
      <c r="J184" s="280"/>
    </row>
    <row r="185" spans="1:10" s="282" customFormat="1" x14ac:dyDescent="0.25">
      <c r="A185" s="282" t="s">
        <v>87</v>
      </c>
      <c r="H185" s="281"/>
      <c r="I185" s="281"/>
      <c r="J185" s="280">
        <f>IF(H135&lt;0,-H135,0)</f>
        <v>0</v>
      </c>
    </row>
    <row r="186" spans="1:10" s="282" customFormat="1" x14ac:dyDescent="0.25">
      <c r="A186" s="282" t="s">
        <v>88</v>
      </c>
      <c r="H186" s="281"/>
      <c r="I186" s="281"/>
      <c r="J186" s="280">
        <f>IF(J135&lt;0,-J135,0)</f>
        <v>0</v>
      </c>
    </row>
    <row r="187" spans="1:10" ht="7.5" customHeight="1" x14ac:dyDescent="0.25">
      <c r="H187" s="282"/>
      <c r="I187" s="282"/>
      <c r="J187" s="282"/>
    </row>
    <row r="188" spans="1:10" x14ac:dyDescent="0.25">
      <c r="A188" s="2" t="s">
        <v>89</v>
      </c>
      <c r="H188" s="282"/>
      <c r="I188" s="282"/>
      <c r="J188" s="282"/>
    </row>
    <row r="189" spans="1:10" ht="15.6" x14ac:dyDescent="0.3">
      <c r="A189" s="2" t="s">
        <v>90</v>
      </c>
      <c r="H189" s="282"/>
      <c r="I189" s="282"/>
      <c r="J189" s="282"/>
    </row>
    <row r="190" spans="1:10" s="364" customFormat="1" x14ac:dyDescent="0.25">
      <c r="H190" s="282"/>
      <c r="I190" s="282"/>
      <c r="J190" s="282"/>
    </row>
    <row r="191" spans="1:10" s="364" customFormat="1" x14ac:dyDescent="0.25">
      <c r="A191" s="75" t="s">
        <v>936</v>
      </c>
      <c r="B191" s="75"/>
      <c r="C191" s="75"/>
      <c r="D191" s="75"/>
      <c r="E191" s="75"/>
      <c r="F191" s="75"/>
      <c r="H191" s="371">
        <f>-((SUM(H174:H184)-SUM(J174:J186)))</f>
        <v>96.52302348001831</v>
      </c>
      <c r="I191" s="282"/>
      <c r="J191" s="282"/>
    </row>
    <row r="192" spans="1:10" s="364" customFormat="1" ht="6.6" customHeight="1" x14ac:dyDescent="0.25">
      <c r="A192" s="75"/>
      <c r="B192" s="75"/>
      <c r="C192" s="75"/>
      <c r="D192" s="75"/>
      <c r="E192" s="75"/>
      <c r="F192" s="75"/>
      <c r="H192" s="282"/>
      <c r="I192" s="282"/>
      <c r="J192" s="282"/>
    </row>
    <row r="193" spans="1:10" s="364" customFormat="1" x14ac:dyDescent="0.25">
      <c r="A193" s="75" t="s">
        <v>937</v>
      </c>
      <c r="B193" s="75"/>
      <c r="C193" s="75"/>
      <c r="D193" s="75"/>
      <c r="E193" s="75"/>
      <c r="F193" s="75"/>
      <c r="H193" s="282"/>
      <c r="I193" s="282"/>
      <c r="J193" s="282"/>
    </row>
    <row r="194" spans="1:10" s="364" customFormat="1" x14ac:dyDescent="0.25">
      <c r="A194" s="75" t="s">
        <v>939</v>
      </c>
      <c r="B194" s="75"/>
      <c r="C194" s="75"/>
      <c r="D194" s="75"/>
      <c r="E194" s="75"/>
      <c r="F194" s="75"/>
      <c r="H194" s="282"/>
      <c r="I194" s="282"/>
      <c r="J194" s="282"/>
    </row>
    <row r="195" spans="1:10" s="364" customFormat="1" x14ac:dyDescent="0.25">
      <c r="A195" s="75" t="s">
        <v>938</v>
      </c>
      <c r="B195" s="75"/>
      <c r="C195" s="75"/>
      <c r="D195" s="75"/>
      <c r="E195" s="75"/>
      <c r="F195" s="75"/>
      <c r="H195" s="282"/>
      <c r="I195" s="282"/>
      <c r="J195" s="282"/>
    </row>
    <row r="196" spans="1:10" x14ac:dyDescent="0.25">
      <c r="H196" s="282"/>
      <c r="I196" s="282"/>
      <c r="J196" s="282"/>
    </row>
    <row r="197" spans="1:10" x14ac:dyDescent="0.25">
      <c r="A197" s="2" t="s">
        <v>932</v>
      </c>
      <c r="H197" s="280">
        <f>H105</f>
        <v>27238.5</v>
      </c>
      <c r="I197" s="280"/>
      <c r="J197" s="280"/>
    </row>
    <row r="198" spans="1:10" x14ac:dyDescent="0.25">
      <c r="A198" s="2" t="s">
        <v>933</v>
      </c>
      <c r="H198" s="280"/>
      <c r="I198" s="280"/>
      <c r="J198" s="280">
        <f>H197</f>
        <v>27238.5</v>
      </c>
    </row>
    <row r="199" spans="1:10" ht="4.5" customHeight="1" x14ac:dyDescent="0.25">
      <c r="H199" s="280"/>
      <c r="I199" s="280"/>
      <c r="J199" s="280"/>
    </row>
    <row r="200" spans="1:10" x14ac:dyDescent="0.25">
      <c r="A200" s="2" t="s">
        <v>91</v>
      </c>
      <c r="H200" s="280"/>
      <c r="I200" s="280"/>
      <c r="J200" s="280"/>
    </row>
    <row r="201" spans="1:10" x14ac:dyDescent="0.25">
      <c r="H201" s="281"/>
      <c r="I201" s="281"/>
      <c r="J201" s="281"/>
    </row>
    <row r="202" spans="1:10" x14ac:dyDescent="0.25">
      <c r="A202" s="2" t="s">
        <v>934</v>
      </c>
      <c r="H202" s="280">
        <f>H109</f>
        <v>27783.24</v>
      </c>
      <c r="I202" s="280"/>
      <c r="J202" s="280"/>
    </row>
    <row r="203" spans="1:10" x14ac:dyDescent="0.25">
      <c r="A203" s="2" t="s">
        <v>935</v>
      </c>
      <c r="H203" s="280"/>
      <c r="I203" s="280"/>
      <c r="J203" s="280">
        <f>H202</f>
        <v>27783.24</v>
      </c>
    </row>
    <row r="204" spans="1:10" ht="8.25" customHeight="1" x14ac:dyDescent="0.25">
      <c r="H204" s="16"/>
      <c r="I204" s="16"/>
      <c r="J204" s="16"/>
    </row>
    <row r="205" spans="1:10" x14ac:dyDescent="0.25">
      <c r="A205" s="2" t="s">
        <v>92</v>
      </c>
      <c r="H205" s="16"/>
      <c r="I205" s="16"/>
      <c r="J205" s="16"/>
    </row>
    <row r="206" spans="1:10" ht="15.6" thickBot="1" x14ac:dyDescent="0.3"/>
    <row r="207" spans="1:10" ht="16.2" thickBot="1" x14ac:dyDescent="0.35">
      <c r="A207" s="35" t="s">
        <v>93</v>
      </c>
      <c r="B207" s="2" t="s">
        <v>152</v>
      </c>
    </row>
    <row r="208" spans="1:10" ht="15.6" x14ac:dyDescent="0.3">
      <c r="A208" s="31"/>
      <c r="B208" s="1" t="s">
        <v>151</v>
      </c>
    </row>
    <row r="209" spans="2:2" x14ac:dyDescent="0.25">
      <c r="B209" s="75" t="s">
        <v>122</v>
      </c>
    </row>
    <row r="210" spans="2:2" x14ac:dyDescent="0.25">
      <c r="B210" s="55"/>
    </row>
  </sheetData>
  <mergeCells count="40">
    <mergeCell ref="A54:D54"/>
    <mergeCell ref="A55:D55"/>
    <mergeCell ref="J48:K48"/>
    <mergeCell ref="F95:J95"/>
    <mergeCell ref="B90:D90"/>
    <mergeCell ref="B91:D91"/>
    <mergeCell ref="B92:D92"/>
    <mergeCell ref="A58:F58"/>
    <mergeCell ref="J105:L105"/>
    <mergeCell ref="B105:F105"/>
    <mergeCell ref="K85:L85"/>
    <mergeCell ref="A1:D1"/>
    <mergeCell ref="A2:D2"/>
    <mergeCell ref="A57:D57"/>
    <mergeCell ref="K84:L84"/>
    <mergeCell ref="A35:F35"/>
    <mergeCell ref="A36:F36"/>
    <mergeCell ref="A37:F37"/>
    <mergeCell ref="A38:F38"/>
    <mergeCell ref="A40:F40"/>
    <mergeCell ref="A41:F41"/>
    <mergeCell ref="A44:F44"/>
    <mergeCell ref="C79:D79"/>
    <mergeCell ref="A53:D53"/>
    <mergeCell ref="C100:D100"/>
    <mergeCell ref="J49:K49"/>
    <mergeCell ref="A56:D56"/>
    <mergeCell ref="B134:F134"/>
    <mergeCell ref="B135:F135"/>
    <mergeCell ref="H110:L110"/>
    <mergeCell ref="H111:L111"/>
    <mergeCell ref="H112:L112"/>
    <mergeCell ref="B121:D121"/>
    <mergeCell ref="D124:J124"/>
    <mergeCell ref="D125:J125"/>
    <mergeCell ref="B133:F133"/>
    <mergeCell ref="B107:F107"/>
    <mergeCell ref="J107:L107"/>
    <mergeCell ref="B109:F109"/>
    <mergeCell ref="J109:L109"/>
  </mergeCells>
  <pageMargins left="0.7" right="0.7" top="0.75" bottom="0.75" header="0.3" footer="0.3"/>
  <pageSetup scale="38" orientation="portrait" r:id="rId1"/>
  <headerFooter>
    <oddHeader>&amp;C&amp;A</oddHeader>
  </headerFooter>
  <rowBreaks count="1" manualBreakCount="1">
    <brk id="99" max="1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61"/>
  <sheetViews>
    <sheetView topLeftCell="A38" zoomScaleNormal="100" workbookViewId="0">
      <selection activeCell="D21" sqref="D21"/>
    </sheetView>
  </sheetViews>
  <sheetFormatPr defaultRowHeight="14.4" x14ac:dyDescent="0.3"/>
  <cols>
    <col min="1" max="1" width="4.88671875" style="61" customWidth="1"/>
    <col min="2" max="2" width="65.5546875" style="61" customWidth="1"/>
    <col min="3" max="3" width="15.33203125" style="61" bestFit="1" customWidth="1"/>
    <col min="4" max="4" width="14.88671875" style="61" bestFit="1" customWidth="1"/>
    <col min="5" max="5" width="24.6640625" style="61" bestFit="1" customWidth="1"/>
    <col min="6" max="8" width="9.109375" style="61"/>
    <col min="9" max="9" width="18.44140625" style="61" customWidth="1"/>
    <col min="10" max="256" width="9.109375" style="61"/>
    <col min="257" max="257" width="4.88671875" style="61" customWidth="1"/>
    <col min="258" max="258" width="65.88671875" style="61" customWidth="1"/>
    <col min="259" max="259" width="11.5546875" style="61" customWidth="1"/>
    <col min="260" max="260" width="11.33203125" style="61" customWidth="1"/>
    <col min="261" max="261" width="19.88671875" style="61" bestFit="1" customWidth="1"/>
    <col min="262" max="512" width="9.109375" style="61"/>
    <col min="513" max="513" width="4.88671875" style="61" customWidth="1"/>
    <col min="514" max="514" width="65.88671875" style="61" customWidth="1"/>
    <col min="515" max="515" width="11.5546875" style="61" customWidth="1"/>
    <col min="516" max="516" width="11.33203125" style="61" customWidth="1"/>
    <col min="517" max="517" width="19.88671875" style="61" bestFit="1" customWidth="1"/>
    <col min="518" max="768" width="9.109375" style="61"/>
    <col min="769" max="769" width="4.88671875" style="61" customWidth="1"/>
    <col min="770" max="770" width="65.88671875" style="61" customWidth="1"/>
    <col min="771" max="771" width="11.5546875" style="61" customWidth="1"/>
    <col min="772" max="772" width="11.33203125" style="61" customWidth="1"/>
    <col min="773" max="773" width="19.88671875" style="61" bestFit="1" customWidth="1"/>
    <col min="774" max="1024" width="9.109375" style="61"/>
    <col min="1025" max="1025" width="4.88671875" style="61" customWidth="1"/>
    <col min="1026" max="1026" width="65.88671875" style="61" customWidth="1"/>
    <col min="1027" max="1027" width="11.5546875" style="61" customWidth="1"/>
    <col min="1028" max="1028" width="11.33203125" style="61" customWidth="1"/>
    <col min="1029" max="1029" width="19.88671875" style="61" bestFit="1" customWidth="1"/>
    <col min="1030" max="1280" width="9.109375" style="61"/>
    <col min="1281" max="1281" width="4.88671875" style="61" customWidth="1"/>
    <col min="1282" max="1282" width="65.88671875" style="61" customWidth="1"/>
    <col min="1283" max="1283" width="11.5546875" style="61" customWidth="1"/>
    <col min="1284" max="1284" width="11.33203125" style="61" customWidth="1"/>
    <col min="1285" max="1285" width="19.88671875" style="61" bestFit="1" customWidth="1"/>
    <col min="1286" max="1536" width="9.109375" style="61"/>
    <col min="1537" max="1537" width="4.88671875" style="61" customWidth="1"/>
    <col min="1538" max="1538" width="65.88671875" style="61" customWidth="1"/>
    <col min="1539" max="1539" width="11.5546875" style="61" customWidth="1"/>
    <col min="1540" max="1540" width="11.33203125" style="61" customWidth="1"/>
    <col min="1541" max="1541" width="19.88671875" style="61" bestFit="1" customWidth="1"/>
    <col min="1542" max="1792" width="9.109375" style="61"/>
    <col min="1793" max="1793" width="4.88671875" style="61" customWidth="1"/>
    <col min="1794" max="1794" width="65.88671875" style="61" customWidth="1"/>
    <col min="1795" max="1795" width="11.5546875" style="61" customWidth="1"/>
    <col min="1796" max="1796" width="11.33203125" style="61" customWidth="1"/>
    <col min="1797" max="1797" width="19.88671875" style="61" bestFit="1" customWidth="1"/>
    <col min="1798" max="2048" width="9.109375" style="61"/>
    <col min="2049" max="2049" width="4.88671875" style="61" customWidth="1"/>
    <col min="2050" max="2050" width="65.88671875" style="61" customWidth="1"/>
    <col min="2051" max="2051" width="11.5546875" style="61" customWidth="1"/>
    <col min="2052" max="2052" width="11.33203125" style="61" customWidth="1"/>
    <col min="2053" max="2053" width="19.88671875" style="61" bestFit="1" customWidth="1"/>
    <col min="2054" max="2304" width="9.109375" style="61"/>
    <col min="2305" max="2305" width="4.88671875" style="61" customWidth="1"/>
    <col min="2306" max="2306" width="65.88671875" style="61" customWidth="1"/>
    <col min="2307" max="2307" width="11.5546875" style="61" customWidth="1"/>
    <col min="2308" max="2308" width="11.33203125" style="61" customWidth="1"/>
    <col min="2309" max="2309" width="19.88671875" style="61" bestFit="1" customWidth="1"/>
    <col min="2310" max="2560" width="9.109375" style="61"/>
    <col min="2561" max="2561" width="4.88671875" style="61" customWidth="1"/>
    <col min="2562" max="2562" width="65.88671875" style="61" customWidth="1"/>
    <col min="2563" max="2563" width="11.5546875" style="61" customWidth="1"/>
    <col min="2564" max="2564" width="11.33203125" style="61" customWidth="1"/>
    <col min="2565" max="2565" width="19.88671875" style="61" bestFit="1" customWidth="1"/>
    <col min="2566" max="2816" width="9.109375" style="61"/>
    <col min="2817" max="2817" width="4.88671875" style="61" customWidth="1"/>
    <col min="2818" max="2818" width="65.88671875" style="61" customWidth="1"/>
    <col min="2819" max="2819" width="11.5546875" style="61" customWidth="1"/>
    <col min="2820" max="2820" width="11.33203125" style="61" customWidth="1"/>
    <col min="2821" max="2821" width="19.88671875" style="61" bestFit="1" customWidth="1"/>
    <col min="2822" max="3072" width="9.109375" style="61"/>
    <col min="3073" max="3073" width="4.88671875" style="61" customWidth="1"/>
    <col min="3074" max="3074" width="65.88671875" style="61" customWidth="1"/>
    <col min="3075" max="3075" width="11.5546875" style="61" customWidth="1"/>
    <col min="3076" max="3076" width="11.33203125" style="61" customWidth="1"/>
    <col min="3077" max="3077" width="19.88671875" style="61" bestFit="1" customWidth="1"/>
    <col min="3078" max="3328" width="9.109375" style="61"/>
    <col min="3329" max="3329" width="4.88671875" style="61" customWidth="1"/>
    <col min="3330" max="3330" width="65.88671875" style="61" customWidth="1"/>
    <col min="3331" max="3331" width="11.5546875" style="61" customWidth="1"/>
    <col min="3332" max="3332" width="11.33203125" style="61" customWidth="1"/>
    <col min="3333" max="3333" width="19.88671875" style="61" bestFit="1" customWidth="1"/>
    <col min="3334" max="3584" width="9.109375" style="61"/>
    <col min="3585" max="3585" width="4.88671875" style="61" customWidth="1"/>
    <col min="3586" max="3586" width="65.88671875" style="61" customWidth="1"/>
    <col min="3587" max="3587" width="11.5546875" style="61" customWidth="1"/>
    <col min="3588" max="3588" width="11.33203125" style="61" customWidth="1"/>
    <col min="3589" max="3589" width="19.88671875" style="61" bestFit="1" customWidth="1"/>
    <col min="3590" max="3840" width="9.109375" style="61"/>
    <col min="3841" max="3841" width="4.88671875" style="61" customWidth="1"/>
    <col min="3842" max="3842" width="65.88671875" style="61" customWidth="1"/>
    <col min="3843" max="3843" width="11.5546875" style="61" customWidth="1"/>
    <col min="3844" max="3844" width="11.33203125" style="61" customWidth="1"/>
    <col min="3845" max="3845" width="19.88671875" style="61" bestFit="1" customWidth="1"/>
    <col min="3846" max="4096" width="9.109375" style="61"/>
    <col min="4097" max="4097" width="4.88671875" style="61" customWidth="1"/>
    <col min="4098" max="4098" width="65.88671875" style="61" customWidth="1"/>
    <col min="4099" max="4099" width="11.5546875" style="61" customWidth="1"/>
    <col min="4100" max="4100" width="11.33203125" style="61" customWidth="1"/>
    <col min="4101" max="4101" width="19.88671875" style="61" bestFit="1" customWidth="1"/>
    <col min="4102" max="4352" width="9.109375" style="61"/>
    <col min="4353" max="4353" width="4.88671875" style="61" customWidth="1"/>
    <col min="4354" max="4354" width="65.88671875" style="61" customWidth="1"/>
    <col min="4355" max="4355" width="11.5546875" style="61" customWidth="1"/>
    <col min="4356" max="4356" width="11.33203125" style="61" customWidth="1"/>
    <col min="4357" max="4357" width="19.88671875" style="61" bestFit="1" customWidth="1"/>
    <col min="4358" max="4608" width="9.109375" style="61"/>
    <col min="4609" max="4609" width="4.88671875" style="61" customWidth="1"/>
    <col min="4610" max="4610" width="65.88671875" style="61" customWidth="1"/>
    <col min="4611" max="4611" width="11.5546875" style="61" customWidth="1"/>
    <col min="4612" max="4612" width="11.33203125" style="61" customWidth="1"/>
    <col min="4613" max="4613" width="19.88671875" style="61" bestFit="1" customWidth="1"/>
    <col min="4614" max="4864" width="9.109375" style="61"/>
    <col min="4865" max="4865" width="4.88671875" style="61" customWidth="1"/>
    <col min="4866" max="4866" width="65.88671875" style="61" customWidth="1"/>
    <col min="4867" max="4867" width="11.5546875" style="61" customWidth="1"/>
    <col min="4868" max="4868" width="11.33203125" style="61" customWidth="1"/>
    <col min="4869" max="4869" width="19.88671875" style="61" bestFit="1" customWidth="1"/>
    <col min="4870" max="5120" width="9.109375" style="61"/>
    <col min="5121" max="5121" width="4.88671875" style="61" customWidth="1"/>
    <col min="5122" max="5122" width="65.88671875" style="61" customWidth="1"/>
    <col min="5123" max="5123" width="11.5546875" style="61" customWidth="1"/>
    <col min="5124" max="5124" width="11.33203125" style="61" customWidth="1"/>
    <col min="5125" max="5125" width="19.88671875" style="61" bestFit="1" customWidth="1"/>
    <col min="5126" max="5376" width="9.109375" style="61"/>
    <col min="5377" max="5377" width="4.88671875" style="61" customWidth="1"/>
    <col min="5378" max="5378" width="65.88671875" style="61" customWidth="1"/>
    <col min="5379" max="5379" width="11.5546875" style="61" customWidth="1"/>
    <col min="5380" max="5380" width="11.33203125" style="61" customWidth="1"/>
    <col min="5381" max="5381" width="19.88671875" style="61" bestFit="1" customWidth="1"/>
    <col min="5382" max="5632" width="9.109375" style="61"/>
    <col min="5633" max="5633" width="4.88671875" style="61" customWidth="1"/>
    <col min="5634" max="5634" width="65.88671875" style="61" customWidth="1"/>
    <col min="5635" max="5635" width="11.5546875" style="61" customWidth="1"/>
    <col min="5636" max="5636" width="11.33203125" style="61" customWidth="1"/>
    <col min="5637" max="5637" width="19.88671875" style="61" bestFit="1" customWidth="1"/>
    <col min="5638" max="5888" width="9.109375" style="61"/>
    <col min="5889" max="5889" width="4.88671875" style="61" customWidth="1"/>
    <col min="5890" max="5890" width="65.88671875" style="61" customWidth="1"/>
    <col min="5891" max="5891" width="11.5546875" style="61" customWidth="1"/>
    <col min="5892" max="5892" width="11.33203125" style="61" customWidth="1"/>
    <col min="5893" max="5893" width="19.88671875" style="61" bestFit="1" customWidth="1"/>
    <col min="5894" max="6144" width="9.109375" style="61"/>
    <col min="6145" max="6145" width="4.88671875" style="61" customWidth="1"/>
    <col min="6146" max="6146" width="65.88671875" style="61" customWidth="1"/>
    <col min="6147" max="6147" width="11.5546875" style="61" customWidth="1"/>
    <col min="6148" max="6148" width="11.33203125" style="61" customWidth="1"/>
    <col min="6149" max="6149" width="19.88671875" style="61" bestFit="1" customWidth="1"/>
    <col min="6150" max="6400" width="9.109375" style="61"/>
    <col min="6401" max="6401" width="4.88671875" style="61" customWidth="1"/>
    <col min="6402" max="6402" width="65.88671875" style="61" customWidth="1"/>
    <col min="6403" max="6403" width="11.5546875" style="61" customWidth="1"/>
    <col min="6404" max="6404" width="11.33203125" style="61" customWidth="1"/>
    <col min="6405" max="6405" width="19.88671875" style="61" bestFit="1" customWidth="1"/>
    <col min="6406" max="6656" width="9.109375" style="61"/>
    <col min="6657" max="6657" width="4.88671875" style="61" customWidth="1"/>
    <col min="6658" max="6658" width="65.88671875" style="61" customWidth="1"/>
    <col min="6659" max="6659" width="11.5546875" style="61" customWidth="1"/>
    <col min="6660" max="6660" width="11.33203125" style="61" customWidth="1"/>
    <col min="6661" max="6661" width="19.88671875" style="61" bestFit="1" customWidth="1"/>
    <col min="6662" max="6912" width="9.109375" style="61"/>
    <col min="6913" max="6913" width="4.88671875" style="61" customWidth="1"/>
    <col min="6914" max="6914" width="65.88671875" style="61" customWidth="1"/>
    <col min="6915" max="6915" width="11.5546875" style="61" customWidth="1"/>
    <col min="6916" max="6916" width="11.33203125" style="61" customWidth="1"/>
    <col min="6917" max="6917" width="19.88671875" style="61" bestFit="1" customWidth="1"/>
    <col min="6918" max="7168" width="9.109375" style="61"/>
    <col min="7169" max="7169" width="4.88671875" style="61" customWidth="1"/>
    <col min="7170" max="7170" width="65.88671875" style="61" customWidth="1"/>
    <col min="7171" max="7171" width="11.5546875" style="61" customWidth="1"/>
    <col min="7172" max="7172" width="11.33203125" style="61" customWidth="1"/>
    <col min="7173" max="7173" width="19.88671875" style="61" bestFit="1" customWidth="1"/>
    <col min="7174" max="7424" width="9.109375" style="61"/>
    <col min="7425" max="7425" width="4.88671875" style="61" customWidth="1"/>
    <col min="7426" max="7426" width="65.88671875" style="61" customWidth="1"/>
    <col min="7427" max="7427" width="11.5546875" style="61" customWidth="1"/>
    <col min="7428" max="7428" width="11.33203125" style="61" customWidth="1"/>
    <col min="7429" max="7429" width="19.88671875" style="61" bestFit="1" customWidth="1"/>
    <col min="7430" max="7680" width="9.109375" style="61"/>
    <col min="7681" max="7681" width="4.88671875" style="61" customWidth="1"/>
    <col min="7682" max="7682" width="65.88671875" style="61" customWidth="1"/>
    <col min="7683" max="7683" width="11.5546875" style="61" customWidth="1"/>
    <col min="7684" max="7684" width="11.33203125" style="61" customWidth="1"/>
    <col min="7685" max="7685" width="19.88671875" style="61" bestFit="1" customWidth="1"/>
    <col min="7686" max="7936" width="9.109375" style="61"/>
    <col min="7937" max="7937" width="4.88671875" style="61" customWidth="1"/>
    <col min="7938" max="7938" width="65.88671875" style="61" customWidth="1"/>
    <col min="7939" max="7939" width="11.5546875" style="61" customWidth="1"/>
    <col min="7940" max="7940" width="11.33203125" style="61" customWidth="1"/>
    <col min="7941" max="7941" width="19.88671875" style="61" bestFit="1" customWidth="1"/>
    <col min="7942" max="8192" width="9.109375" style="61"/>
    <col min="8193" max="8193" width="4.88671875" style="61" customWidth="1"/>
    <col min="8194" max="8194" width="65.88671875" style="61" customWidth="1"/>
    <col min="8195" max="8195" width="11.5546875" style="61" customWidth="1"/>
    <col min="8196" max="8196" width="11.33203125" style="61" customWidth="1"/>
    <col min="8197" max="8197" width="19.88671875" style="61" bestFit="1" customWidth="1"/>
    <col min="8198" max="8448" width="9.109375" style="61"/>
    <col min="8449" max="8449" width="4.88671875" style="61" customWidth="1"/>
    <col min="8450" max="8450" width="65.88671875" style="61" customWidth="1"/>
    <col min="8451" max="8451" width="11.5546875" style="61" customWidth="1"/>
    <col min="8452" max="8452" width="11.33203125" style="61" customWidth="1"/>
    <col min="8453" max="8453" width="19.88671875" style="61" bestFit="1" customWidth="1"/>
    <col min="8454" max="8704" width="9.109375" style="61"/>
    <col min="8705" max="8705" width="4.88671875" style="61" customWidth="1"/>
    <col min="8706" max="8706" width="65.88671875" style="61" customWidth="1"/>
    <col min="8707" max="8707" width="11.5546875" style="61" customWidth="1"/>
    <col min="8708" max="8708" width="11.33203125" style="61" customWidth="1"/>
    <col min="8709" max="8709" width="19.88671875" style="61" bestFit="1" customWidth="1"/>
    <col min="8710" max="8960" width="9.109375" style="61"/>
    <col min="8961" max="8961" width="4.88671875" style="61" customWidth="1"/>
    <col min="8962" max="8962" width="65.88671875" style="61" customWidth="1"/>
    <col min="8963" max="8963" width="11.5546875" style="61" customWidth="1"/>
    <col min="8964" max="8964" width="11.33203125" style="61" customWidth="1"/>
    <col min="8965" max="8965" width="19.88671875" style="61" bestFit="1" customWidth="1"/>
    <col min="8966" max="9216" width="9.109375" style="61"/>
    <col min="9217" max="9217" width="4.88671875" style="61" customWidth="1"/>
    <col min="9218" max="9218" width="65.88671875" style="61" customWidth="1"/>
    <col min="9219" max="9219" width="11.5546875" style="61" customWidth="1"/>
    <col min="9220" max="9220" width="11.33203125" style="61" customWidth="1"/>
    <col min="9221" max="9221" width="19.88671875" style="61" bestFit="1" customWidth="1"/>
    <col min="9222" max="9472" width="9.109375" style="61"/>
    <col min="9473" max="9473" width="4.88671875" style="61" customWidth="1"/>
    <col min="9474" max="9474" width="65.88671875" style="61" customWidth="1"/>
    <col min="9475" max="9475" width="11.5546875" style="61" customWidth="1"/>
    <col min="9476" max="9476" width="11.33203125" style="61" customWidth="1"/>
    <col min="9477" max="9477" width="19.88671875" style="61" bestFit="1" customWidth="1"/>
    <col min="9478" max="9728" width="9.109375" style="61"/>
    <col min="9729" max="9729" width="4.88671875" style="61" customWidth="1"/>
    <col min="9730" max="9730" width="65.88671875" style="61" customWidth="1"/>
    <col min="9731" max="9731" width="11.5546875" style="61" customWidth="1"/>
    <col min="9732" max="9732" width="11.33203125" style="61" customWidth="1"/>
    <col min="9733" max="9733" width="19.88671875" style="61" bestFit="1" customWidth="1"/>
    <col min="9734" max="9984" width="9.109375" style="61"/>
    <col min="9985" max="9985" width="4.88671875" style="61" customWidth="1"/>
    <col min="9986" max="9986" width="65.88671875" style="61" customWidth="1"/>
    <col min="9987" max="9987" width="11.5546875" style="61" customWidth="1"/>
    <col min="9988" max="9988" width="11.33203125" style="61" customWidth="1"/>
    <col min="9989" max="9989" width="19.88671875" style="61" bestFit="1" customWidth="1"/>
    <col min="9990" max="10240" width="9.109375" style="61"/>
    <col min="10241" max="10241" width="4.88671875" style="61" customWidth="1"/>
    <col min="10242" max="10242" width="65.88671875" style="61" customWidth="1"/>
    <col min="10243" max="10243" width="11.5546875" style="61" customWidth="1"/>
    <col min="10244" max="10244" width="11.33203125" style="61" customWidth="1"/>
    <col min="10245" max="10245" width="19.88671875" style="61" bestFit="1" customWidth="1"/>
    <col min="10246" max="10496" width="9.109375" style="61"/>
    <col min="10497" max="10497" width="4.88671875" style="61" customWidth="1"/>
    <col min="10498" max="10498" width="65.88671875" style="61" customWidth="1"/>
    <col min="10499" max="10499" width="11.5546875" style="61" customWidth="1"/>
    <col min="10500" max="10500" width="11.33203125" style="61" customWidth="1"/>
    <col min="10501" max="10501" width="19.88671875" style="61" bestFit="1" customWidth="1"/>
    <col min="10502" max="10752" width="9.109375" style="61"/>
    <col min="10753" max="10753" width="4.88671875" style="61" customWidth="1"/>
    <col min="10754" max="10754" width="65.88671875" style="61" customWidth="1"/>
    <col min="10755" max="10755" width="11.5546875" style="61" customWidth="1"/>
    <col min="10756" max="10756" width="11.33203125" style="61" customWidth="1"/>
    <col min="10757" max="10757" width="19.88671875" style="61" bestFit="1" customWidth="1"/>
    <col min="10758" max="11008" width="9.109375" style="61"/>
    <col min="11009" max="11009" width="4.88671875" style="61" customWidth="1"/>
    <col min="11010" max="11010" width="65.88671875" style="61" customWidth="1"/>
    <col min="11011" max="11011" width="11.5546875" style="61" customWidth="1"/>
    <col min="11012" max="11012" width="11.33203125" style="61" customWidth="1"/>
    <col min="11013" max="11013" width="19.88671875" style="61" bestFit="1" customWidth="1"/>
    <col min="11014" max="11264" width="9.109375" style="61"/>
    <col min="11265" max="11265" width="4.88671875" style="61" customWidth="1"/>
    <col min="11266" max="11266" width="65.88671875" style="61" customWidth="1"/>
    <col min="11267" max="11267" width="11.5546875" style="61" customWidth="1"/>
    <col min="11268" max="11268" width="11.33203125" style="61" customWidth="1"/>
    <col min="11269" max="11269" width="19.88671875" style="61" bestFit="1" customWidth="1"/>
    <col min="11270" max="11520" width="9.109375" style="61"/>
    <col min="11521" max="11521" width="4.88671875" style="61" customWidth="1"/>
    <col min="11522" max="11522" width="65.88671875" style="61" customWidth="1"/>
    <col min="11523" max="11523" width="11.5546875" style="61" customWidth="1"/>
    <col min="11524" max="11524" width="11.33203125" style="61" customWidth="1"/>
    <col min="11525" max="11525" width="19.88671875" style="61" bestFit="1" customWidth="1"/>
    <col min="11526" max="11776" width="9.109375" style="61"/>
    <col min="11777" max="11777" width="4.88671875" style="61" customWidth="1"/>
    <col min="11778" max="11778" width="65.88671875" style="61" customWidth="1"/>
    <col min="11779" max="11779" width="11.5546875" style="61" customWidth="1"/>
    <col min="11780" max="11780" width="11.33203125" style="61" customWidth="1"/>
    <col min="11781" max="11781" width="19.88671875" style="61" bestFit="1" customWidth="1"/>
    <col min="11782" max="12032" width="9.109375" style="61"/>
    <col min="12033" max="12033" width="4.88671875" style="61" customWidth="1"/>
    <col min="12034" max="12034" width="65.88671875" style="61" customWidth="1"/>
    <col min="12035" max="12035" width="11.5546875" style="61" customWidth="1"/>
    <col min="12036" max="12036" width="11.33203125" style="61" customWidth="1"/>
    <col min="12037" max="12037" width="19.88671875" style="61" bestFit="1" customWidth="1"/>
    <col min="12038" max="12288" width="9.109375" style="61"/>
    <col min="12289" max="12289" width="4.88671875" style="61" customWidth="1"/>
    <col min="12290" max="12290" width="65.88671875" style="61" customWidth="1"/>
    <col min="12291" max="12291" width="11.5546875" style="61" customWidth="1"/>
    <col min="12292" max="12292" width="11.33203125" style="61" customWidth="1"/>
    <col min="12293" max="12293" width="19.88671875" style="61" bestFit="1" customWidth="1"/>
    <col min="12294" max="12544" width="9.109375" style="61"/>
    <col min="12545" max="12545" width="4.88671875" style="61" customWidth="1"/>
    <col min="12546" max="12546" width="65.88671875" style="61" customWidth="1"/>
    <col min="12547" max="12547" width="11.5546875" style="61" customWidth="1"/>
    <col min="12548" max="12548" width="11.33203125" style="61" customWidth="1"/>
    <col min="12549" max="12549" width="19.88671875" style="61" bestFit="1" customWidth="1"/>
    <col min="12550" max="12800" width="9.109375" style="61"/>
    <col min="12801" max="12801" width="4.88671875" style="61" customWidth="1"/>
    <col min="12802" max="12802" width="65.88671875" style="61" customWidth="1"/>
    <col min="12803" max="12803" width="11.5546875" style="61" customWidth="1"/>
    <col min="12804" max="12804" width="11.33203125" style="61" customWidth="1"/>
    <col min="12805" max="12805" width="19.88671875" style="61" bestFit="1" customWidth="1"/>
    <col min="12806" max="13056" width="9.109375" style="61"/>
    <col min="13057" max="13057" width="4.88671875" style="61" customWidth="1"/>
    <col min="13058" max="13058" width="65.88671875" style="61" customWidth="1"/>
    <col min="13059" max="13059" width="11.5546875" style="61" customWidth="1"/>
    <col min="13060" max="13060" width="11.33203125" style="61" customWidth="1"/>
    <col min="13061" max="13061" width="19.88671875" style="61" bestFit="1" customWidth="1"/>
    <col min="13062" max="13312" width="9.109375" style="61"/>
    <col min="13313" max="13313" width="4.88671875" style="61" customWidth="1"/>
    <col min="13314" max="13314" width="65.88671875" style="61" customWidth="1"/>
    <col min="13315" max="13315" width="11.5546875" style="61" customWidth="1"/>
    <col min="13316" max="13316" width="11.33203125" style="61" customWidth="1"/>
    <col min="13317" max="13317" width="19.88671875" style="61" bestFit="1" customWidth="1"/>
    <col min="13318" max="13568" width="9.109375" style="61"/>
    <col min="13569" max="13569" width="4.88671875" style="61" customWidth="1"/>
    <col min="13570" max="13570" width="65.88671875" style="61" customWidth="1"/>
    <col min="13571" max="13571" width="11.5546875" style="61" customWidth="1"/>
    <col min="13572" max="13572" width="11.33203125" style="61" customWidth="1"/>
    <col min="13573" max="13573" width="19.88671875" style="61" bestFit="1" customWidth="1"/>
    <col min="13574" max="13824" width="9.109375" style="61"/>
    <col min="13825" max="13825" width="4.88671875" style="61" customWidth="1"/>
    <col min="13826" max="13826" width="65.88671875" style="61" customWidth="1"/>
    <col min="13827" max="13827" width="11.5546875" style="61" customWidth="1"/>
    <col min="13828" max="13828" width="11.33203125" style="61" customWidth="1"/>
    <col min="13829" max="13829" width="19.88671875" style="61" bestFit="1" customWidth="1"/>
    <col min="13830" max="14080" width="9.109375" style="61"/>
    <col min="14081" max="14081" width="4.88671875" style="61" customWidth="1"/>
    <col min="14082" max="14082" width="65.88671875" style="61" customWidth="1"/>
    <col min="14083" max="14083" width="11.5546875" style="61" customWidth="1"/>
    <col min="14084" max="14084" width="11.33203125" style="61" customWidth="1"/>
    <col min="14085" max="14085" width="19.88671875" style="61" bestFit="1" customWidth="1"/>
    <col min="14086" max="14336" width="9.109375" style="61"/>
    <col min="14337" max="14337" width="4.88671875" style="61" customWidth="1"/>
    <col min="14338" max="14338" width="65.88671875" style="61" customWidth="1"/>
    <col min="14339" max="14339" width="11.5546875" style="61" customWidth="1"/>
    <col min="14340" max="14340" width="11.33203125" style="61" customWidth="1"/>
    <col min="14341" max="14341" width="19.88671875" style="61" bestFit="1" customWidth="1"/>
    <col min="14342" max="14592" width="9.109375" style="61"/>
    <col min="14593" max="14593" width="4.88671875" style="61" customWidth="1"/>
    <col min="14594" max="14594" width="65.88671875" style="61" customWidth="1"/>
    <col min="14595" max="14595" width="11.5546875" style="61" customWidth="1"/>
    <col min="14596" max="14596" width="11.33203125" style="61" customWidth="1"/>
    <col min="14597" max="14597" width="19.88671875" style="61" bestFit="1" customWidth="1"/>
    <col min="14598" max="14848" width="9.109375" style="61"/>
    <col min="14849" max="14849" width="4.88671875" style="61" customWidth="1"/>
    <col min="14850" max="14850" width="65.88671875" style="61" customWidth="1"/>
    <col min="14851" max="14851" width="11.5546875" style="61" customWidth="1"/>
    <col min="14852" max="14852" width="11.33203125" style="61" customWidth="1"/>
    <col min="14853" max="14853" width="19.88671875" style="61" bestFit="1" customWidth="1"/>
    <col min="14854" max="15104" width="9.109375" style="61"/>
    <col min="15105" max="15105" width="4.88671875" style="61" customWidth="1"/>
    <col min="15106" max="15106" width="65.88671875" style="61" customWidth="1"/>
    <col min="15107" max="15107" width="11.5546875" style="61" customWidth="1"/>
    <col min="15108" max="15108" width="11.33203125" style="61" customWidth="1"/>
    <col min="15109" max="15109" width="19.88671875" style="61" bestFit="1" customWidth="1"/>
    <col min="15110" max="15360" width="9.109375" style="61"/>
    <col min="15361" max="15361" width="4.88671875" style="61" customWidth="1"/>
    <col min="15362" max="15362" width="65.88671875" style="61" customWidth="1"/>
    <col min="15363" max="15363" width="11.5546875" style="61" customWidth="1"/>
    <col min="15364" max="15364" width="11.33203125" style="61" customWidth="1"/>
    <col min="15365" max="15365" width="19.88671875" style="61" bestFit="1" customWidth="1"/>
    <col min="15366" max="15616" width="9.109375" style="61"/>
    <col min="15617" max="15617" width="4.88671875" style="61" customWidth="1"/>
    <col min="15618" max="15618" width="65.88671875" style="61" customWidth="1"/>
    <col min="15619" max="15619" width="11.5546875" style="61" customWidth="1"/>
    <col min="15620" max="15620" width="11.33203125" style="61" customWidth="1"/>
    <col min="15621" max="15621" width="19.88671875" style="61" bestFit="1" customWidth="1"/>
    <col min="15622" max="15872" width="9.109375" style="61"/>
    <col min="15873" max="15873" width="4.88671875" style="61" customWidth="1"/>
    <col min="15874" max="15874" width="65.88671875" style="61" customWidth="1"/>
    <col min="15875" max="15875" width="11.5546875" style="61" customWidth="1"/>
    <col min="15876" max="15876" width="11.33203125" style="61" customWidth="1"/>
    <col min="15877" max="15877" width="19.88671875" style="61" bestFit="1" customWidth="1"/>
    <col min="15878" max="16128" width="9.109375" style="61"/>
    <col min="16129" max="16129" width="4.88671875" style="61" customWidth="1"/>
    <col min="16130" max="16130" width="65.88671875" style="61" customWidth="1"/>
    <col min="16131" max="16131" width="11.5546875" style="61" customWidth="1"/>
    <col min="16132" max="16132" width="11.33203125" style="61" customWidth="1"/>
    <col min="16133" max="16133" width="19.88671875" style="61" bestFit="1" customWidth="1"/>
    <col min="16134" max="16384" width="9.109375" style="61"/>
  </cols>
  <sheetData>
    <row r="1" spans="1:15" ht="17.399999999999999" x14ac:dyDescent="0.3">
      <c r="A1" s="410" t="s">
        <v>445</v>
      </c>
      <c r="B1" s="410"/>
      <c r="C1" s="410"/>
      <c r="D1" s="410"/>
      <c r="E1" s="410"/>
      <c r="F1" s="410"/>
      <c r="G1" s="410"/>
      <c r="H1" s="410"/>
      <c r="I1" s="410"/>
      <c r="J1" s="410"/>
      <c r="K1" s="410"/>
      <c r="L1" s="410"/>
      <c r="M1" s="410"/>
      <c r="N1" s="410"/>
      <c r="O1" s="410"/>
    </row>
    <row r="2" spans="1:15" x14ac:dyDescent="0.3">
      <c r="A2" s="409" t="s">
        <v>123</v>
      </c>
      <c r="B2" s="409"/>
      <c r="C2" s="409"/>
      <c r="D2" s="409"/>
      <c r="E2" s="409"/>
    </row>
    <row r="4" spans="1:15" x14ac:dyDescent="0.3">
      <c r="B4" s="66" t="s">
        <v>124</v>
      </c>
    </row>
    <row r="5" spans="1:15" x14ac:dyDescent="0.3">
      <c r="A5" s="67" t="s">
        <v>125</v>
      </c>
      <c r="B5" s="67" t="s">
        <v>75</v>
      </c>
      <c r="C5" s="77">
        <f>Calculations!H142</f>
        <v>1328.9508491000001</v>
      </c>
      <c r="D5" s="78"/>
      <c r="E5" s="61" t="s">
        <v>126</v>
      </c>
    </row>
    <row r="6" spans="1:15" x14ac:dyDescent="0.3">
      <c r="B6" s="67" t="s">
        <v>127</v>
      </c>
      <c r="C6" s="77">
        <f>Calculations!H143+Calculations!H150+Calculations!H157</f>
        <v>234865.59289230002</v>
      </c>
      <c r="D6" s="78"/>
      <c r="E6" s="61" t="s">
        <v>126</v>
      </c>
    </row>
    <row r="7" spans="1:15" x14ac:dyDescent="0.3">
      <c r="B7" s="67" t="s">
        <v>327</v>
      </c>
      <c r="C7" s="77"/>
      <c r="D7" s="78">
        <f>Calculations!J144</f>
        <v>0</v>
      </c>
      <c r="E7" s="61" t="s">
        <v>126</v>
      </c>
    </row>
    <row r="8" spans="1:15" x14ac:dyDescent="0.3">
      <c r="A8" s="61" t="s">
        <v>155</v>
      </c>
      <c r="B8" s="67" t="s">
        <v>156</v>
      </c>
      <c r="C8" s="77"/>
      <c r="D8" s="78">
        <f>Calculations!J145+Calculations!J158</f>
        <v>168383.63505680001</v>
      </c>
      <c r="E8" s="61" t="s">
        <v>126</v>
      </c>
    </row>
    <row r="9" spans="1:15" x14ac:dyDescent="0.3">
      <c r="B9" s="67" t="s">
        <v>128</v>
      </c>
      <c r="C9" s="78"/>
      <c r="D9" s="77">
        <f>Calculations!J146+Calculations!J151+Calculations!J159-Calculations!H159</f>
        <v>67810.908684599985</v>
      </c>
      <c r="E9" s="61" t="s">
        <v>126</v>
      </c>
    </row>
    <row r="10" spans="1:15" ht="9" customHeight="1" x14ac:dyDescent="0.3">
      <c r="B10" s="67"/>
      <c r="C10" s="79"/>
      <c r="D10" s="79"/>
    </row>
    <row r="11" spans="1:15" x14ac:dyDescent="0.3">
      <c r="B11" s="67" t="s">
        <v>129</v>
      </c>
      <c r="C11" s="80"/>
      <c r="D11" s="77">
        <f>D9</f>
        <v>67810.908684599985</v>
      </c>
      <c r="E11" s="67" t="s">
        <v>130</v>
      </c>
    </row>
    <row r="12" spans="1:15" x14ac:dyDescent="0.3">
      <c r="B12" s="67"/>
      <c r="C12" s="80"/>
      <c r="D12" s="80"/>
      <c r="E12" s="67"/>
    </row>
    <row r="13" spans="1:15" x14ac:dyDescent="0.3">
      <c r="A13" s="67" t="s">
        <v>131</v>
      </c>
      <c r="B13" s="67"/>
      <c r="C13" s="67"/>
      <c r="D13" s="67"/>
      <c r="E13" s="67"/>
    </row>
    <row r="14" spans="1:15" x14ac:dyDescent="0.3">
      <c r="A14" s="67"/>
      <c r="B14" s="67"/>
      <c r="C14" s="67"/>
      <c r="D14" s="67"/>
      <c r="E14" s="67"/>
    </row>
    <row r="15" spans="1:15" x14ac:dyDescent="0.3">
      <c r="B15" s="66" t="s">
        <v>132</v>
      </c>
      <c r="C15" s="67"/>
      <c r="D15" s="67"/>
      <c r="E15" s="67"/>
    </row>
    <row r="16" spans="1:15" x14ac:dyDescent="0.3">
      <c r="A16" s="61" t="s">
        <v>133</v>
      </c>
      <c r="B16" s="61" t="s">
        <v>75</v>
      </c>
      <c r="C16" s="78">
        <f>Calculations!H174</f>
        <v>1266.4907951800001</v>
      </c>
      <c r="D16" s="78">
        <f>Calculations!J174</f>
        <v>0</v>
      </c>
      <c r="E16" s="61" t="s">
        <v>126</v>
      </c>
    </row>
    <row r="17" spans="1:11" x14ac:dyDescent="0.3">
      <c r="A17" s="67"/>
      <c r="B17" s="61" t="s">
        <v>127</v>
      </c>
      <c r="C17" s="341">
        <f>Calculations!H175+Calculations!H183+Calculations!H167-Calculations!J167</f>
        <v>17639.228458474528</v>
      </c>
      <c r="D17" s="78">
        <f>Calculations!J175</f>
        <v>0</v>
      </c>
      <c r="E17" s="61" t="s">
        <v>126</v>
      </c>
    </row>
    <row r="18" spans="1:11" x14ac:dyDescent="0.3">
      <c r="B18" s="61" t="s">
        <v>328</v>
      </c>
      <c r="C18" s="78">
        <f>Calculations!H176</f>
        <v>0</v>
      </c>
      <c r="D18" s="78">
        <f>Calculations!J176</f>
        <v>0</v>
      </c>
      <c r="E18" s="61" t="s">
        <v>126</v>
      </c>
    </row>
    <row r="19" spans="1:11" x14ac:dyDescent="0.3">
      <c r="B19" s="61" t="s">
        <v>160</v>
      </c>
      <c r="C19" s="78">
        <f>Calculations!H177</f>
        <v>29245.834541640012</v>
      </c>
      <c r="D19" s="78">
        <f>Calculations!J169+Calculations!J185+Calculations!J177-Calculations!H169</f>
        <v>-985.32</v>
      </c>
      <c r="E19" s="61" t="s">
        <v>126</v>
      </c>
    </row>
    <row r="20" spans="1:11" x14ac:dyDescent="0.3">
      <c r="B20" s="61" t="s">
        <v>134</v>
      </c>
      <c r="C20" s="78">
        <f>IF(Calculations!H178&gt;0, Calculations!H178+Calculations!H184-Calculations!J186+Calculations!H168-Calculations!J168,0)</f>
        <v>0</v>
      </c>
      <c r="D20" s="78">
        <f>IF(Calculations!J178&gt;0,Calculations!J178-Calculations!H184+Calculations!J186+Calculations!J168-Calculations!H168-Calculations!H191,0)</f>
        <v>49136.873795294538</v>
      </c>
      <c r="E20" s="61" t="s">
        <v>126</v>
      </c>
    </row>
    <row r="21" spans="1:11" x14ac:dyDescent="0.3">
      <c r="C21" s="78"/>
      <c r="D21" s="78"/>
    </row>
    <row r="22" spans="1:11" x14ac:dyDescent="0.3">
      <c r="B22" s="61" t="s">
        <v>161</v>
      </c>
      <c r="C22" s="78">
        <f>C20</f>
        <v>0</v>
      </c>
      <c r="D22" s="78">
        <f>D20</f>
        <v>49136.873795294538</v>
      </c>
      <c r="E22" s="64" t="s">
        <v>130</v>
      </c>
      <c r="F22" s="69" t="s">
        <v>135</v>
      </c>
    </row>
    <row r="23" spans="1:11" x14ac:dyDescent="0.3">
      <c r="B23" s="70" t="s">
        <v>329</v>
      </c>
      <c r="C23" s="72" t="s">
        <v>136</v>
      </c>
      <c r="D23" s="63"/>
      <c r="E23" s="63" t="s">
        <v>130</v>
      </c>
      <c r="F23" s="69"/>
    </row>
    <row r="24" spans="1:11" x14ac:dyDescent="0.3">
      <c r="B24" s="70" t="s">
        <v>330</v>
      </c>
      <c r="C24" s="72" t="s">
        <v>136</v>
      </c>
      <c r="D24" s="63"/>
      <c r="E24" s="63" t="s">
        <v>130</v>
      </c>
      <c r="F24" s="69"/>
    </row>
    <row r="25" spans="1:11" x14ac:dyDescent="0.3">
      <c r="B25" s="70" t="s">
        <v>331</v>
      </c>
      <c r="C25" s="72" t="s">
        <v>136</v>
      </c>
      <c r="D25" s="63"/>
      <c r="E25" s="63" t="s">
        <v>130</v>
      </c>
    </row>
    <row r="26" spans="1:11" x14ac:dyDescent="0.3">
      <c r="B26" s="70" t="s">
        <v>332</v>
      </c>
      <c r="C26" s="72" t="s">
        <v>136</v>
      </c>
      <c r="D26" s="63"/>
      <c r="E26" s="63" t="s">
        <v>130</v>
      </c>
    </row>
    <row r="27" spans="1:11" x14ac:dyDescent="0.3">
      <c r="B27" s="70" t="s">
        <v>333</v>
      </c>
      <c r="C27" s="72" t="s">
        <v>136</v>
      </c>
      <c r="D27" s="63"/>
      <c r="E27" s="63" t="s">
        <v>130</v>
      </c>
    </row>
    <row r="28" spans="1:11" x14ac:dyDescent="0.3">
      <c r="B28" s="70" t="s">
        <v>334</v>
      </c>
      <c r="C28" s="72" t="s">
        <v>136</v>
      </c>
      <c r="D28" s="63"/>
      <c r="E28" s="63" t="s">
        <v>130</v>
      </c>
    </row>
    <row r="29" spans="1:11" ht="8.25" customHeight="1" x14ac:dyDescent="0.3">
      <c r="B29" s="70" t="s">
        <v>335</v>
      </c>
      <c r="C29" s="72" t="s">
        <v>136</v>
      </c>
      <c r="D29" s="63"/>
      <c r="E29" s="63" t="s">
        <v>130</v>
      </c>
    </row>
    <row r="30" spans="1:11" x14ac:dyDescent="0.3">
      <c r="C30" s="68"/>
      <c r="D30" s="68"/>
      <c r="K30" s="76"/>
    </row>
    <row r="31" spans="1:11" x14ac:dyDescent="0.3">
      <c r="A31" s="71" t="s">
        <v>137</v>
      </c>
      <c r="C31" s="68"/>
      <c r="D31" s="68"/>
      <c r="K31" s="76"/>
    </row>
    <row r="32" spans="1:11" x14ac:dyDescent="0.3">
      <c r="A32" s="67" t="s">
        <v>157</v>
      </c>
      <c r="C32" s="68"/>
      <c r="D32" s="68"/>
      <c r="K32" s="76"/>
    </row>
    <row r="33" spans="1:6" x14ac:dyDescent="0.3">
      <c r="A33" s="67" t="s">
        <v>762</v>
      </c>
      <c r="C33" s="68"/>
      <c r="D33" s="68"/>
    </row>
    <row r="34" spans="1:6" x14ac:dyDescent="0.3">
      <c r="B34" s="67"/>
    </row>
    <row r="35" spans="1:6" x14ac:dyDescent="0.3">
      <c r="A35" s="67" t="s">
        <v>138</v>
      </c>
      <c r="B35" s="67" t="s">
        <v>139</v>
      </c>
      <c r="C35" s="77">
        <f>Calculations!H197</f>
        <v>27238.5</v>
      </c>
      <c r="D35" s="77"/>
      <c r="E35" s="67" t="s">
        <v>126</v>
      </c>
    </row>
    <row r="36" spans="1:6" x14ac:dyDescent="0.3">
      <c r="B36" s="67" t="s">
        <v>141</v>
      </c>
      <c r="C36" s="78"/>
      <c r="D36" s="77">
        <f>Calculations!J198</f>
        <v>27238.5</v>
      </c>
      <c r="E36" s="67" t="s">
        <v>126</v>
      </c>
    </row>
    <row r="37" spans="1:6" x14ac:dyDescent="0.3">
      <c r="B37" s="67"/>
      <c r="C37" s="79"/>
      <c r="D37" s="80"/>
      <c r="E37" s="67"/>
    </row>
    <row r="38" spans="1:6" x14ac:dyDescent="0.3">
      <c r="A38" s="67"/>
      <c r="B38" s="67" t="s">
        <v>142</v>
      </c>
      <c r="C38" s="81">
        <f>C35</f>
        <v>27238.5</v>
      </c>
      <c r="D38" s="80"/>
      <c r="E38" s="64" t="s">
        <v>130</v>
      </c>
      <c r="F38" s="69" t="s">
        <v>135</v>
      </c>
    </row>
    <row r="39" spans="1:6" x14ac:dyDescent="0.3">
      <c r="B39" s="70" t="s">
        <v>329</v>
      </c>
      <c r="C39" s="72" t="s">
        <v>136</v>
      </c>
      <c r="D39" s="63"/>
      <c r="E39" s="63" t="s">
        <v>130</v>
      </c>
      <c r="F39" s="69"/>
    </row>
    <row r="40" spans="1:6" x14ac:dyDescent="0.3">
      <c r="B40" s="70" t="s">
        <v>330</v>
      </c>
      <c r="C40" s="72" t="s">
        <v>136</v>
      </c>
      <c r="D40" s="63"/>
      <c r="E40" s="63" t="s">
        <v>130</v>
      </c>
      <c r="F40" s="69"/>
    </row>
    <row r="41" spans="1:6" x14ac:dyDescent="0.3">
      <c r="B41" s="70" t="s">
        <v>331</v>
      </c>
      <c r="C41" s="72" t="s">
        <v>136</v>
      </c>
      <c r="D41" s="63"/>
      <c r="E41" s="63" t="s">
        <v>130</v>
      </c>
    </row>
    <row r="42" spans="1:6" x14ac:dyDescent="0.3">
      <c r="B42" s="70" t="s">
        <v>332</v>
      </c>
      <c r="C42" s="72" t="s">
        <v>136</v>
      </c>
      <c r="D42" s="63"/>
      <c r="E42" s="63" t="s">
        <v>130</v>
      </c>
    </row>
    <row r="43" spans="1:6" x14ac:dyDescent="0.3">
      <c r="B43" s="70" t="s">
        <v>333</v>
      </c>
      <c r="C43" s="72" t="s">
        <v>136</v>
      </c>
      <c r="D43" s="63"/>
      <c r="E43" s="63" t="s">
        <v>130</v>
      </c>
    </row>
    <row r="44" spans="1:6" x14ac:dyDescent="0.3">
      <c r="B44" s="70" t="s">
        <v>334</v>
      </c>
      <c r="C44" s="72" t="s">
        <v>136</v>
      </c>
      <c r="D44" s="63"/>
      <c r="E44" s="63" t="s">
        <v>130</v>
      </c>
    </row>
    <row r="45" spans="1:6" x14ac:dyDescent="0.3">
      <c r="B45" s="70" t="s">
        <v>335</v>
      </c>
      <c r="C45" s="72" t="s">
        <v>136</v>
      </c>
      <c r="D45" s="63"/>
      <c r="E45" s="63" t="s">
        <v>130</v>
      </c>
    </row>
    <row r="46" spans="1:6" x14ac:dyDescent="0.3">
      <c r="B46" s="67"/>
      <c r="D46" s="67"/>
      <c r="E46" s="67"/>
    </row>
    <row r="47" spans="1:6" x14ac:dyDescent="0.3">
      <c r="A47" s="67" t="s">
        <v>143</v>
      </c>
      <c r="B47" s="67"/>
      <c r="D47" s="67"/>
      <c r="E47" s="67"/>
    </row>
    <row r="48" spans="1:6" x14ac:dyDescent="0.3">
      <c r="A48" s="67"/>
      <c r="B48" s="67"/>
      <c r="D48" s="67"/>
      <c r="E48" s="67"/>
    </row>
    <row r="49" spans="1:6" x14ac:dyDescent="0.3">
      <c r="A49" s="67" t="s">
        <v>140</v>
      </c>
      <c r="B49" s="67" t="s">
        <v>144</v>
      </c>
      <c r="C49" s="77">
        <f>Calculations!H202</f>
        <v>27783.24</v>
      </c>
      <c r="D49" s="77"/>
      <c r="E49" s="67" t="s">
        <v>126</v>
      </c>
    </row>
    <row r="50" spans="1:6" x14ac:dyDescent="0.3">
      <c r="A50" s="67"/>
      <c r="B50" s="67" t="s">
        <v>134</v>
      </c>
      <c r="C50" s="77"/>
      <c r="D50" s="77">
        <f>Calculations!J203</f>
        <v>27783.24</v>
      </c>
      <c r="E50" s="67" t="s">
        <v>126</v>
      </c>
    </row>
    <row r="51" spans="1:6" x14ac:dyDescent="0.3">
      <c r="A51" s="67"/>
      <c r="B51" s="67"/>
      <c r="C51" s="77"/>
      <c r="D51" s="77"/>
      <c r="E51" s="67"/>
    </row>
    <row r="52" spans="1:6" x14ac:dyDescent="0.3">
      <c r="A52" s="67"/>
      <c r="B52" s="67" t="s">
        <v>145</v>
      </c>
      <c r="C52" s="78"/>
      <c r="D52" s="77">
        <f>D50</f>
        <v>27783.24</v>
      </c>
      <c r="E52" s="64" t="s">
        <v>130</v>
      </c>
      <c r="F52" s="69" t="s">
        <v>135</v>
      </c>
    </row>
    <row r="53" spans="1:6" x14ac:dyDescent="0.3">
      <c r="B53" s="70" t="s">
        <v>329</v>
      </c>
      <c r="C53" s="72"/>
      <c r="D53" s="72" t="s">
        <v>136</v>
      </c>
      <c r="E53" s="63" t="s">
        <v>130</v>
      </c>
      <c r="F53" s="69"/>
    </row>
    <row r="54" spans="1:6" x14ac:dyDescent="0.3">
      <c r="B54" s="70" t="s">
        <v>330</v>
      </c>
      <c r="C54" s="72"/>
      <c r="D54" s="72" t="s">
        <v>136</v>
      </c>
      <c r="E54" s="63" t="s">
        <v>130</v>
      </c>
      <c r="F54" s="69"/>
    </row>
    <row r="55" spans="1:6" x14ac:dyDescent="0.3">
      <c r="B55" s="70" t="s">
        <v>331</v>
      </c>
      <c r="C55" s="72"/>
      <c r="D55" s="72" t="s">
        <v>136</v>
      </c>
      <c r="E55" s="63" t="s">
        <v>130</v>
      </c>
    </row>
    <row r="56" spans="1:6" x14ac:dyDescent="0.3">
      <c r="B56" s="70" t="s">
        <v>332</v>
      </c>
      <c r="C56" s="72"/>
      <c r="D56" s="72" t="s">
        <v>136</v>
      </c>
      <c r="E56" s="63" t="s">
        <v>130</v>
      </c>
    </row>
    <row r="57" spans="1:6" x14ac:dyDescent="0.3">
      <c r="B57" s="70" t="s">
        <v>333</v>
      </c>
      <c r="C57" s="72"/>
      <c r="D57" s="72" t="s">
        <v>136</v>
      </c>
      <c r="E57" s="63" t="s">
        <v>130</v>
      </c>
    </row>
    <row r="58" spans="1:6" x14ac:dyDescent="0.3">
      <c r="B58" s="70" t="s">
        <v>334</v>
      </c>
      <c r="C58" s="72"/>
      <c r="D58" s="72" t="s">
        <v>136</v>
      </c>
      <c r="E58" s="63" t="s">
        <v>130</v>
      </c>
    </row>
    <row r="59" spans="1:6" x14ac:dyDescent="0.3">
      <c r="B59" s="70" t="s">
        <v>335</v>
      </c>
      <c r="C59" s="72"/>
      <c r="D59" s="72" t="s">
        <v>136</v>
      </c>
      <c r="E59" s="63" t="s">
        <v>130</v>
      </c>
    </row>
    <row r="60" spans="1:6" x14ac:dyDescent="0.3">
      <c r="A60" s="67"/>
      <c r="B60" s="67"/>
      <c r="D60" s="67"/>
      <c r="E60" s="67"/>
    </row>
    <row r="61" spans="1:6" x14ac:dyDescent="0.3">
      <c r="A61" s="67" t="s">
        <v>146</v>
      </c>
      <c r="B61" s="67"/>
      <c r="D61" s="67"/>
      <c r="E61" s="67"/>
    </row>
  </sheetData>
  <mergeCells count="2">
    <mergeCell ref="A2:E2"/>
    <mergeCell ref="A1:O1"/>
  </mergeCells>
  <pageMargins left="0.7" right="0.7" top="0.75" bottom="0.75" header="0.3" footer="0.3"/>
  <pageSetup scale="54" orientation="landscape" r:id="rId1"/>
  <headerFooter>
    <oddHeader>&amp;C&amp;A</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95"/>
  <sheetViews>
    <sheetView topLeftCell="A69" zoomScaleNormal="100" workbookViewId="0">
      <selection activeCell="M120" sqref="M120"/>
    </sheetView>
  </sheetViews>
  <sheetFormatPr defaultRowHeight="14.4" x14ac:dyDescent="0.3"/>
  <cols>
    <col min="1" max="1" width="57" style="61" customWidth="1"/>
    <col min="2" max="2" width="1.44140625" style="61" customWidth="1"/>
    <col min="3" max="3" width="19.109375" style="61" customWidth="1"/>
    <col min="4" max="4" width="1.6640625" style="61" customWidth="1"/>
    <col min="5" max="5" width="19.44140625" style="61" customWidth="1"/>
    <col min="6" max="6" width="3.88671875" style="114" customWidth="1"/>
    <col min="7" max="7" width="19.44140625" style="61" customWidth="1"/>
    <col min="8" max="8" width="3.5546875" style="114" customWidth="1"/>
    <col min="9" max="9" width="17.88671875" style="61" hidden="1" customWidth="1"/>
    <col min="10" max="10" width="1.5546875" style="61" hidden="1" customWidth="1"/>
    <col min="11" max="11" width="17.88671875" style="61" hidden="1" customWidth="1"/>
    <col min="12" max="12" width="1.5546875" style="61" hidden="1" customWidth="1"/>
    <col min="13" max="13" width="19.6640625" style="61" customWidth="1"/>
    <col min="14" max="14" width="2.109375" style="61" customWidth="1"/>
    <col min="15" max="15" width="28.109375" style="167" customWidth="1"/>
    <col min="16" max="256" width="9.109375" style="61"/>
    <col min="257" max="257" width="57" style="61" customWidth="1"/>
    <col min="258" max="258" width="1.44140625" style="61" customWidth="1"/>
    <col min="259" max="259" width="19.109375" style="61" customWidth="1"/>
    <col min="260" max="260" width="1.6640625" style="61" customWidth="1"/>
    <col min="261" max="261" width="19.44140625" style="61" customWidth="1"/>
    <col min="262" max="262" width="3.88671875" style="61" customWidth="1"/>
    <col min="263" max="263" width="19.44140625" style="61" customWidth="1"/>
    <col min="264" max="264" width="3.5546875" style="61" customWidth="1"/>
    <col min="265" max="268" width="0" style="61" hidden="1" customWidth="1"/>
    <col min="269" max="269" width="19.6640625" style="61" customWidth="1"/>
    <col min="270" max="270" width="2.109375" style="61" customWidth="1"/>
    <col min="271" max="271" width="28.109375" style="61" customWidth="1"/>
    <col min="272" max="512" width="9.109375" style="61"/>
    <col min="513" max="513" width="57" style="61" customWidth="1"/>
    <col min="514" max="514" width="1.44140625" style="61" customWidth="1"/>
    <col min="515" max="515" width="19.109375" style="61" customWidth="1"/>
    <col min="516" max="516" width="1.6640625" style="61" customWidth="1"/>
    <col min="517" max="517" width="19.44140625" style="61" customWidth="1"/>
    <col min="518" max="518" width="3.88671875" style="61" customWidth="1"/>
    <col min="519" max="519" width="19.44140625" style="61" customWidth="1"/>
    <col min="520" max="520" width="3.5546875" style="61" customWidth="1"/>
    <col min="521" max="524" width="0" style="61" hidden="1" customWidth="1"/>
    <col min="525" max="525" width="19.6640625" style="61" customWidth="1"/>
    <col min="526" max="526" width="2.109375" style="61" customWidth="1"/>
    <col min="527" max="527" width="28.109375" style="61" customWidth="1"/>
    <col min="528" max="768" width="9.109375" style="61"/>
    <col min="769" max="769" width="57" style="61" customWidth="1"/>
    <col min="770" max="770" width="1.44140625" style="61" customWidth="1"/>
    <col min="771" max="771" width="19.109375" style="61" customWidth="1"/>
    <col min="772" max="772" width="1.6640625" style="61" customWidth="1"/>
    <col min="773" max="773" width="19.44140625" style="61" customWidth="1"/>
    <col min="774" max="774" width="3.88671875" style="61" customWidth="1"/>
    <col min="775" max="775" width="19.44140625" style="61" customWidth="1"/>
    <col min="776" max="776" width="3.5546875" style="61" customWidth="1"/>
    <col min="777" max="780" width="0" style="61" hidden="1" customWidth="1"/>
    <col min="781" max="781" width="19.6640625" style="61" customWidth="1"/>
    <col min="782" max="782" width="2.109375" style="61" customWidth="1"/>
    <col min="783" max="783" width="28.109375" style="61" customWidth="1"/>
    <col min="784" max="1024" width="9.109375" style="61"/>
    <col min="1025" max="1025" width="57" style="61" customWidth="1"/>
    <col min="1026" max="1026" width="1.44140625" style="61" customWidth="1"/>
    <col min="1027" max="1027" width="19.109375" style="61" customWidth="1"/>
    <col min="1028" max="1028" width="1.6640625" style="61" customWidth="1"/>
    <col min="1029" max="1029" width="19.44140625" style="61" customWidth="1"/>
    <col min="1030" max="1030" width="3.88671875" style="61" customWidth="1"/>
    <col min="1031" max="1031" width="19.44140625" style="61" customWidth="1"/>
    <col min="1032" max="1032" width="3.5546875" style="61" customWidth="1"/>
    <col min="1033" max="1036" width="0" style="61" hidden="1" customWidth="1"/>
    <col min="1037" max="1037" width="19.6640625" style="61" customWidth="1"/>
    <col min="1038" max="1038" width="2.109375" style="61" customWidth="1"/>
    <col min="1039" max="1039" width="28.109375" style="61" customWidth="1"/>
    <col min="1040" max="1280" width="9.109375" style="61"/>
    <col min="1281" max="1281" width="57" style="61" customWidth="1"/>
    <col min="1282" max="1282" width="1.44140625" style="61" customWidth="1"/>
    <col min="1283" max="1283" width="19.109375" style="61" customWidth="1"/>
    <col min="1284" max="1284" width="1.6640625" style="61" customWidth="1"/>
    <col min="1285" max="1285" width="19.44140625" style="61" customWidth="1"/>
    <col min="1286" max="1286" width="3.88671875" style="61" customWidth="1"/>
    <col min="1287" max="1287" width="19.44140625" style="61" customWidth="1"/>
    <col min="1288" max="1288" width="3.5546875" style="61" customWidth="1"/>
    <col min="1289" max="1292" width="0" style="61" hidden="1" customWidth="1"/>
    <col min="1293" max="1293" width="19.6640625" style="61" customWidth="1"/>
    <col min="1294" max="1294" width="2.109375" style="61" customWidth="1"/>
    <col min="1295" max="1295" width="28.109375" style="61" customWidth="1"/>
    <col min="1296" max="1536" width="9.109375" style="61"/>
    <col min="1537" max="1537" width="57" style="61" customWidth="1"/>
    <col min="1538" max="1538" width="1.44140625" style="61" customWidth="1"/>
    <col min="1539" max="1539" width="19.109375" style="61" customWidth="1"/>
    <col min="1540" max="1540" width="1.6640625" style="61" customWidth="1"/>
    <col min="1541" max="1541" width="19.44140625" style="61" customWidth="1"/>
    <col min="1542" max="1542" width="3.88671875" style="61" customWidth="1"/>
    <col min="1543" max="1543" width="19.44140625" style="61" customWidth="1"/>
    <col min="1544" max="1544" width="3.5546875" style="61" customWidth="1"/>
    <col min="1545" max="1548" width="0" style="61" hidden="1" customWidth="1"/>
    <col min="1549" max="1549" width="19.6640625" style="61" customWidth="1"/>
    <col min="1550" max="1550" width="2.109375" style="61" customWidth="1"/>
    <col min="1551" max="1551" width="28.109375" style="61" customWidth="1"/>
    <col min="1552" max="1792" width="9.109375" style="61"/>
    <col min="1793" max="1793" width="57" style="61" customWidth="1"/>
    <col min="1794" max="1794" width="1.44140625" style="61" customWidth="1"/>
    <col min="1795" max="1795" width="19.109375" style="61" customWidth="1"/>
    <col min="1796" max="1796" width="1.6640625" style="61" customWidth="1"/>
    <col min="1797" max="1797" width="19.44140625" style="61" customWidth="1"/>
    <col min="1798" max="1798" width="3.88671875" style="61" customWidth="1"/>
    <col min="1799" max="1799" width="19.44140625" style="61" customWidth="1"/>
    <col min="1800" max="1800" width="3.5546875" style="61" customWidth="1"/>
    <col min="1801" max="1804" width="0" style="61" hidden="1" customWidth="1"/>
    <col min="1805" max="1805" width="19.6640625" style="61" customWidth="1"/>
    <col min="1806" max="1806" width="2.109375" style="61" customWidth="1"/>
    <col min="1807" max="1807" width="28.109375" style="61" customWidth="1"/>
    <col min="1808" max="2048" width="9.109375" style="61"/>
    <col min="2049" max="2049" width="57" style="61" customWidth="1"/>
    <col min="2050" max="2050" width="1.44140625" style="61" customWidth="1"/>
    <col min="2051" max="2051" width="19.109375" style="61" customWidth="1"/>
    <col min="2052" max="2052" width="1.6640625" style="61" customWidth="1"/>
    <col min="2053" max="2053" width="19.44140625" style="61" customWidth="1"/>
    <col min="2054" max="2054" width="3.88671875" style="61" customWidth="1"/>
    <col min="2055" max="2055" width="19.44140625" style="61" customWidth="1"/>
    <col min="2056" max="2056" width="3.5546875" style="61" customWidth="1"/>
    <col min="2057" max="2060" width="0" style="61" hidden="1" customWidth="1"/>
    <col min="2061" max="2061" width="19.6640625" style="61" customWidth="1"/>
    <col min="2062" max="2062" width="2.109375" style="61" customWidth="1"/>
    <col min="2063" max="2063" width="28.109375" style="61" customWidth="1"/>
    <col min="2064" max="2304" width="9.109375" style="61"/>
    <col min="2305" max="2305" width="57" style="61" customWidth="1"/>
    <col min="2306" max="2306" width="1.44140625" style="61" customWidth="1"/>
    <col min="2307" max="2307" width="19.109375" style="61" customWidth="1"/>
    <col min="2308" max="2308" width="1.6640625" style="61" customWidth="1"/>
    <col min="2309" max="2309" width="19.44140625" style="61" customWidth="1"/>
    <col min="2310" max="2310" width="3.88671875" style="61" customWidth="1"/>
    <col min="2311" max="2311" width="19.44140625" style="61" customWidth="1"/>
    <col min="2312" max="2312" width="3.5546875" style="61" customWidth="1"/>
    <col min="2313" max="2316" width="0" style="61" hidden="1" customWidth="1"/>
    <col min="2317" max="2317" width="19.6640625" style="61" customWidth="1"/>
    <col min="2318" max="2318" width="2.109375" style="61" customWidth="1"/>
    <col min="2319" max="2319" width="28.109375" style="61" customWidth="1"/>
    <col min="2320" max="2560" width="9.109375" style="61"/>
    <col min="2561" max="2561" width="57" style="61" customWidth="1"/>
    <col min="2562" max="2562" width="1.44140625" style="61" customWidth="1"/>
    <col min="2563" max="2563" width="19.109375" style="61" customWidth="1"/>
    <col min="2564" max="2564" width="1.6640625" style="61" customWidth="1"/>
    <col min="2565" max="2565" width="19.44140625" style="61" customWidth="1"/>
    <col min="2566" max="2566" width="3.88671875" style="61" customWidth="1"/>
    <col min="2567" max="2567" width="19.44140625" style="61" customWidth="1"/>
    <col min="2568" max="2568" width="3.5546875" style="61" customWidth="1"/>
    <col min="2569" max="2572" width="0" style="61" hidden="1" customWidth="1"/>
    <col min="2573" max="2573" width="19.6640625" style="61" customWidth="1"/>
    <col min="2574" max="2574" width="2.109375" style="61" customWidth="1"/>
    <col min="2575" max="2575" width="28.109375" style="61" customWidth="1"/>
    <col min="2576" max="2816" width="9.109375" style="61"/>
    <col min="2817" max="2817" width="57" style="61" customWidth="1"/>
    <col min="2818" max="2818" width="1.44140625" style="61" customWidth="1"/>
    <col min="2819" max="2819" width="19.109375" style="61" customWidth="1"/>
    <col min="2820" max="2820" width="1.6640625" style="61" customWidth="1"/>
    <col min="2821" max="2821" width="19.44140625" style="61" customWidth="1"/>
    <col min="2822" max="2822" width="3.88671875" style="61" customWidth="1"/>
    <col min="2823" max="2823" width="19.44140625" style="61" customWidth="1"/>
    <col min="2824" max="2824" width="3.5546875" style="61" customWidth="1"/>
    <col min="2825" max="2828" width="0" style="61" hidden="1" customWidth="1"/>
    <col min="2829" max="2829" width="19.6640625" style="61" customWidth="1"/>
    <col min="2830" max="2830" width="2.109375" style="61" customWidth="1"/>
    <col min="2831" max="2831" width="28.109375" style="61" customWidth="1"/>
    <col min="2832" max="3072" width="9.109375" style="61"/>
    <col min="3073" max="3073" width="57" style="61" customWidth="1"/>
    <col min="3074" max="3074" width="1.44140625" style="61" customWidth="1"/>
    <col min="3075" max="3075" width="19.109375" style="61" customWidth="1"/>
    <col min="3076" max="3076" width="1.6640625" style="61" customWidth="1"/>
    <col min="3077" max="3077" width="19.44140625" style="61" customWidth="1"/>
    <col min="3078" max="3078" width="3.88671875" style="61" customWidth="1"/>
    <col min="3079" max="3079" width="19.44140625" style="61" customWidth="1"/>
    <col min="3080" max="3080" width="3.5546875" style="61" customWidth="1"/>
    <col min="3081" max="3084" width="0" style="61" hidden="1" customWidth="1"/>
    <col min="3085" max="3085" width="19.6640625" style="61" customWidth="1"/>
    <col min="3086" max="3086" width="2.109375" style="61" customWidth="1"/>
    <col min="3087" max="3087" width="28.109375" style="61" customWidth="1"/>
    <col min="3088" max="3328" width="9.109375" style="61"/>
    <col min="3329" max="3329" width="57" style="61" customWidth="1"/>
    <col min="3330" max="3330" width="1.44140625" style="61" customWidth="1"/>
    <col min="3331" max="3331" width="19.109375" style="61" customWidth="1"/>
    <col min="3332" max="3332" width="1.6640625" style="61" customWidth="1"/>
    <col min="3333" max="3333" width="19.44140625" style="61" customWidth="1"/>
    <col min="3334" max="3334" width="3.88671875" style="61" customWidth="1"/>
    <col min="3335" max="3335" width="19.44140625" style="61" customWidth="1"/>
    <col min="3336" max="3336" width="3.5546875" style="61" customWidth="1"/>
    <col min="3337" max="3340" width="0" style="61" hidden="1" customWidth="1"/>
    <col min="3341" max="3341" width="19.6640625" style="61" customWidth="1"/>
    <col min="3342" max="3342" width="2.109375" style="61" customWidth="1"/>
    <col min="3343" max="3343" width="28.109375" style="61" customWidth="1"/>
    <col min="3344" max="3584" width="9.109375" style="61"/>
    <col min="3585" max="3585" width="57" style="61" customWidth="1"/>
    <col min="3586" max="3586" width="1.44140625" style="61" customWidth="1"/>
    <col min="3587" max="3587" width="19.109375" style="61" customWidth="1"/>
    <col min="3588" max="3588" width="1.6640625" style="61" customWidth="1"/>
    <col min="3589" max="3589" width="19.44140625" style="61" customWidth="1"/>
    <col min="3590" max="3590" width="3.88671875" style="61" customWidth="1"/>
    <col min="3591" max="3591" width="19.44140625" style="61" customWidth="1"/>
    <col min="3592" max="3592" width="3.5546875" style="61" customWidth="1"/>
    <col min="3593" max="3596" width="0" style="61" hidden="1" customWidth="1"/>
    <col min="3597" max="3597" width="19.6640625" style="61" customWidth="1"/>
    <col min="3598" max="3598" width="2.109375" style="61" customWidth="1"/>
    <col min="3599" max="3599" width="28.109375" style="61" customWidth="1"/>
    <col min="3600" max="3840" width="9.109375" style="61"/>
    <col min="3841" max="3841" width="57" style="61" customWidth="1"/>
    <col min="3842" max="3842" width="1.44140625" style="61" customWidth="1"/>
    <col min="3843" max="3843" width="19.109375" style="61" customWidth="1"/>
    <col min="3844" max="3844" width="1.6640625" style="61" customWidth="1"/>
    <col min="3845" max="3845" width="19.44140625" style="61" customWidth="1"/>
    <col min="3846" max="3846" width="3.88671875" style="61" customWidth="1"/>
    <col min="3847" max="3847" width="19.44140625" style="61" customWidth="1"/>
    <col min="3848" max="3848" width="3.5546875" style="61" customWidth="1"/>
    <col min="3849" max="3852" width="0" style="61" hidden="1" customWidth="1"/>
    <col min="3853" max="3853" width="19.6640625" style="61" customWidth="1"/>
    <col min="3854" max="3854" width="2.109375" style="61" customWidth="1"/>
    <col min="3855" max="3855" width="28.109375" style="61" customWidth="1"/>
    <col min="3856" max="4096" width="9.109375" style="61"/>
    <col min="4097" max="4097" width="57" style="61" customWidth="1"/>
    <col min="4098" max="4098" width="1.44140625" style="61" customWidth="1"/>
    <col min="4099" max="4099" width="19.109375" style="61" customWidth="1"/>
    <col min="4100" max="4100" width="1.6640625" style="61" customWidth="1"/>
    <col min="4101" max="4101" width="19.44140625" style="61" customWidth="1"/>
    <col min="4102" max="4102" width="3.88671875" style="61" customWidth="1"/>
    <col min="4103" max="4103" width="19.44140625" style="61" customWidth="1"/>
    <col min="4104" max="4104" width="3.5546875" style="61" customWidth="1"/>
    <col min="4105" max="4108" width="0" style="61" hidden="1" customWidth="1"/>
    <col min="4109" max="4109" width="19.6640625" style="61" customWidth="1"/>
    <col min="4110" max="4110" width="2.109375" style="61" customWidth="1"/>
    <col min="4111" max="4111" width="28.109375" style="61" customWidth="1"/>
    <col min="4112" max="4352" width="9.109375" style="61"/>
    <col min="4353" max="4353" width="57" style="61" customWidth="1"/>
    <col min="4354" max="4354" width="1.44140625" style="61" customWidth="1"/>
    <col min="4355" max="4355" width="19.109375" style="61" customWidth="1"/>
    <col min="4356" max="4356" width="1.6640625" style="61" customWidth="1"/>
    <col min="4357" max="4357" width="19.44140625" style="61" customWidth="1"/>
    <col min="4358" max="4358" width="3.88671875" style="61" customWidth="1"/>
    <col min="4359" max="4359" width="19.44140625" style="61" customWidth="1"/>
    <col min="4360" max="4360" width="3.5546875" style="61" customWidth="1"/>
    <col min="4361" max="4364" width="0" style="61" hidden="1" customWidth="1"/>
    <col min="4365" max="4365" width="19.6640625" style="61" customWidth="1"/>
    <col min="4366" max="4366" width="2.109375" style="61" customWidth="1"/>
    <col min="4367" max="4367" width="28.109375" style="61" customWidth="1"/>
    <col min="4368" max="4608" width="9.109375" style="61"/>
    <col min="4609" max="4609" width="57" style="61" customWidth="1"/>
    <col min="4610" max="4610" width="1.44140625" style="61" customWidth="1"/>
    <col min="4611" max="4611" width="19.109375" style="61" customWidth="1"/>
    <col min="4612" max="4612" width="1.6640625" style="61" customWidth="1"/>
    <col min="4613" max="4613" width="19.44140625" style="61" customWidth="1"/>
    <col min="4614" max="4614" width="3.88671875" style="61" customWidth="1"/>
    <col min="4615" max="4615" width="19.44140625" style="61" customWidth="1"/>
    <col min="4616" max="4616" width="3.5546875" style="61" customWidth="1"/>
    <col min="4617" max="4620" width="0" style="61" hidden="1" customWidth="1"/>
    <col min="4621" max="4621" width="19.6640625" style="61" customWidth="1"/>
    <col min="4622" max="4622" width="2.109375" style="61" customWidth="1"/>
    <col min="4623" max="4623" width="28.109375" style="61" customWidth="1"/>
    <col min="4624" max="4864" width="9.109375" style="61"/>
    <col min="4865" max="4865" width="57" style="61" customWidth="1"/>
    <col min="4866" max="4866" width="1.44140625" style="61" customWidth="1"/>
    <col min="4867" max="4867" width="19.109375" style="61" customWidth="1"/>
    <col min="4868" max="4868" width="1.6640625" style="61" customWidth="1"/>
    <col min="4869" max="4869" width="19.44140625" style="61" customWidth="1"/>
    <col min="4870" max="4870" width="3.88671875" style="61" customWidth="1"/>
    <col min="4871" max="4871" width="19.44140625" style="61" customWidth="1"/>
    <col min="4872" max="4872" width="3.5546875" style="61" customWidth="1"/>
    <col min="4873" max="4876" width="0" style="61" hidden="1" customWidth="1"/>
    <col min="4877" max="4877" width="19.6640625" style="61" customWidth="1"/>
    <col min="4878" max="4878" width="2.109375" style="61" customWidth="1"/>
    <col min="4879" max="4879" width="28.109375" style="61" customWidth="1"/>
    <col min="4880" max="5120" width="9.109375" style="61"/>
    <col min="5121" max="5121" width="57" style="61" customWidth="1"/>
    <col min="5122" max="5122" width="1.44140625" style="61" customWidth="1"/>
    <col min="5123" max="5123" width="19.109375" style="61" customWidth="1"/>
    <col min="5124" max="5124" width="1.6640625" style="61" customWidth="1"/>
    <col min="5125" max="5125" width="19.44140625" style="61" customWidth="1"/>
    <col min="5126" max="5126" width="3.88671875" style="61" customWidth="1"/>
    <col min="5127" max="5127" width="19.44140625" style="61" customWidth="1"/>
    <col min="5128" max="5128" width="3.5546875" style="61" customWidth="1"/>
    <col min="5129" max="5132" width="0" style="61" hidden="1" customWidth="1"/>
    <col min="5133" max="5133" width="19.6640625" style="61" customWidth="1"/>
    <col min="5134" max="5134" width="2.109375" style="61" customWidth="1"/>
    <col min="5135" max="5135" width="28.109375" style="61" customWidth="1"/>
    <col min="5136" max="5376" width="9.109375" style="61"/>
    <col min="5377" max="5377" width="57" style="61" customWidth="1"/>
    <col min="5378" max="5378" width="1.44140625" style="61" customWidth="1"/>
    <col min="5379" max="5379" width="19.109375" style="61" customWidth="1"/>
    <col min="5380" max="5380" width="1.6640625" style="61" customWidth="1"/>
    <col min="5381" max="5381" width="19.44140625" style="61" customWidth="1"/>
    <col min="5382" max="5382" width="3.88671875" style="61" customWidth="1"/>
    <col min="5383" max="5383" width="19.44140625" style="61" customWidth="1"/>
    <col min="5384" max="5384" width="3.5546875" style="61" customWidth="1"/>
    <col min="5385" max="5388" width="0" style="61" hidden="1" customWidth="1"/>
    <col min="5389" max="5389" width="19.6640625" style="61" customWidth="1"/>
    <col min="5390" max="5390" width="2.109375" style="61" customWidth="1"/>
    <col min="5391" max="5391" width="28.109375" style="61" customWidth="1"/>
    <col min="5392" max="5632" width="9.109375" style="61"/>
    <col min="5633" max="5633" width="57" style="61" customWidth="1"/>
    <col min="5634" max="5634" width="1.44140625" style="61" customWidth="1"/>
    <col min="5635" max="5635" width="19.109375" style="61" customWidth="1"/>
    <col min="5636" max="5636" width="1.6640625" style="61" customWidth="1"/>
    <col min="5637" max="5637" width="19.44140625" style="61" customWidth="1"/>
    <col min="5638" max="5638" width="3.88671875" style="61" customWidth="1"/>
    <col min="5639" max="5639" width="19.44140625" style="61" customWidth="1"/>
    <col min="5640" max="5640" width="3.5546875" style="61" customWidth="1"/>
    <col min="5641" max="5644" width="0" style="61" hidden="1" customWidth="1"/>
    <col min="5645" max="5645" width="19.6640625" style="61" customWidth="1"/>
    <col min="5646" max="5646" width="2.109375" style="61" customWidth="1"/>
    <col min="5647" max="5647" width="28.109375" style="61" customWidth="1"/>
    <col min="5648" max="5888" width="9.109375" style="61"/>
    <col min="5889" max="5889" width="57" style="61" customWidth="1"/>
    <col min="5890" max="5890" width="1.44140625" style="61" customWidth="1"/>
    <col min="5891" max="5891" width="19.109375" style="61" customWidth="1"/>
    <col min="5892" max="5892" width="1.6640625" style="61" customWidth="1"/>
    <col min="5893" max="5893" width="19.44140625" style="61" customWidth="1"/>
    <col min="5894" max="5894" width="3.88671875" style="61" customWidth="1"/>
    <col min="5895" max="5895" width="19.44140625" style="61" customWidth="1"/>
    <col min="5896" max="5896" width="3.5546875" style="61" customWidth="1"/>
    <col min="5897" max="5900" width="0" style="61" hidden="1" customWidth="1"/>
    <col min="5901" max="5901" width="19.6640625" style="61" customWidth="1"/>
    <col min="5902" max="5902" width="2.109375" style="61" customWidth="1"/>
    <col min="5903" max="5903" width="28.109375" style="61" customWidth="1"/>
    <col min="5904" max="6144" width="9.109375" style="61"/>
    <col min="6145" max="6145" width="57" style="61" customWidth="1"/>
    <col min="6146" max="6146" width="1.44140625" style="61" customWidth="1"/>
    <col min="6147" max="6147" width="19.109375" style="61" customWidth="1"/>
    <col min="6148" max="6148" width="1.6640625" style="61" customWidth="1"/>
    <col min="6149" max="6149" width="19.44140625" style="61" customWidth="1"/>
    <col min="6150" max="6150" width="3.88671875" style="61" customWidth="1"/>
    <col min="6151" max="6151" width="19.44140625" style="61" customWidth="1"/>
    <col min="6152" max="6152" width="3.5546875" style="61" customWidth="1"/>
    <col min="6153" max="6156" width="0" style="61" hidden="1" customWidth="1"/>
    <col min="6157" max="6157" width="19.6640625" style="61" customWidth="1"/>
    <col min="6158" max="6158" width="2.109375" style="61" customWidth="1"/>
    <col min="6159" max="6159" width="28.109375" style="61" customWidth="1"/>
    <col min="6160" max="6400" width="9.109375" style="61"/>
    <col min="6401" max="6401" width="57" style="61" customWidth="1"/>
    <col min="6402" max="6402" width="1.44140625" style="61" customWidth="1"/>
    <col min="6403" max="6403" width="19.109375" style="61" customWidth="1"/>
    <col min="6404" max="6404" width="1.6640625" style="61" customWidth="1"/>
    <col min="6405" max="6405" width="19.44140625" style="61" customWidth="1"/>
    <col min="6406" max="6406" width="3.88671875" style="61" customWidth="1"/>
    <col min="6407" max="6407" width="19.44140625" style="61" customWidth="1"/>
    <col min="6408" max="6408" width="3.5546875" style="61" customWidth="1"/>
    <col min="6409" max="6412" width="0" style="61" hidden="1" customWidth="1"/>
    <col min="6413" max="6413" width="19.6640625" style="61" customWidth="1"/>
    <col min="6414" max="6414" width="2.109375" style="61" customWidth="1"/>
    <col min="6415" max="6415" width="28.109375" style="61" customWidth="1"/>
    <col min="6416" max="6656" width="9.109375" style="61"/>
    <col min="6657" max="6657" width="57" style="61" customWidth="1"/>
    <col min="6658" max="6658" width="1.44140625" style="61" customWidth="1"/>
    <col min="6659" max="6659" width="19.109375" style="61" customWidth="1"/>
    <col min="6660" max="6660" width="1.6640625" style="61" customWidth="1"/>
    <col min="6661" max="6661" width="19.44140625" style="61" customWidth="1"/>
    <col min="6662" max="6662" width="3.88671875" style="61" customWidth="1"/>
    <col min="6663" max="6663" width="19.44140625" style="61" customWidth="1"/>
    <col min="6664" max="6664" width="3.5546875" style="61" customWidth="1"/>
    <col min="6665" max="6668" width="0" style="61" hidden="1" customWidth="1"/>
    <col min="6669" max="6669" width="19.6640625" style="61" customWidth="1"/>
    <col min="6670" max="6670" width="2.109375" style="61" customWidth="1"/>
    <col min="6671" max="6671" width="28.109375" style="61" customWidth="1"/>
    <col min="6672" max="6912" width="9.109375" style="61"/>
    <col min="6913" max="6913" width="57" style="61" customWidth="1"/>
    <col min="6914" max="6914" width="1.44140625" style="61" customWidth="1"/>
    <col min="6915" max="6915" width="19.109375" style="61" customWidth="1"/>
    <col min="6916" max="6916" width="1.6640625" style="61" customWidth="1"/>
    <col min="6917" max="6917" width="19.44140625" style="61" customWidth="1"/>
    <col min="6918" max="6918" width="3.88671875" style="61" customWidth="1"/>
    <col min="6919" max="6919" width="19.44140625" style="61" customWidth="1"/>
    <col min="6920" max="6920" width="3.5546875" style="61" customWidth="1"/>
    <col min="6921" max="6924" width="0" style="61" hidden="1" customWidth="1"/>
    <col min="6925" max="6925" width="19.6640625" style="61" customWidth="1"/>
    <col min="6926" max="6926" width="2.109375" style="61" customWidth="1"/>
    <col min="6927" max="6927" width="28.109375" style="61" customWidth="1"/>
    <col min="6928" max="7168" width="9.109375" style="61"/>
    <col min="7169" max="7169" width="57" style="61" customWidth="1"/>
    <col min="7170" max="7170" width="1.44140625" style="61" customWidth="1"/>
    <col min="7171" max="7171" width="19.109375" style="61" customWidth="1"/>
    <col min="7172" max="7172" width="1.6640625" style="61" customWidth="1"/>
    <col min="7173" max="7173" width="19.44140625" style="61" customWidth="1"/>
    <col min="7174" max="7174" width="3.88671875" style="61" customWidth="1"/>
    <col min="7175" max="7175" width="19.44140625" style="61" customWidth="1"/>
    <col min="7176" max="7176" width="3.5546875" style="61" customWidth="1"/>
    <col min="7177" max="7180" width="0" style="61" hidden="1" customWidth="1"/>
    <col min="7181" max="7181" width="19.6640625" style="61" customWidth="1"/>
    <col min="7182" max="7182" width="2.109375" style="61" customWidth="1"/>
    <col min="7183" max="7183" width="28.109375" style="61" customWidth="1"/>
    <col min="7184" max="7424" width="9.109375" style="61"/>
    <col min="7425" max="7425" width="57" style="61" customWidth="1"/>
    <col min="7426" max="7426" width="1.44140625" style="61" customWidth="1"/>
    <col min="7427" max="7427" width="19.109375" style="61" customWidth="1"/>
    <col min="7428" max="7428" width="1.6640625" style="61" customWidth="1"/>
    <col min="7429" max="7429" width="19.44140625" style="61" customWidth="1"/>
    <col min="7430" max="7430" width="3.88671875" style="61" customWidth="1"/>
    <col min="7431" max="7431" width="19.44140625" style="61" customWidth="1"/>
    <col min="7432" max="7432" width="3.5546875" style="61" customWidth="1"/>
    <col min="7433" max="7436" width="0" style="61" hidden="1" customWidth="1"/>
    <col min="7437" max="7437" width="19.6640625" style="61" customWidth="1"/>
    <col min="7438" max="7438" width="2.109375" style="61" customWidth="1"/>
    <col min="7439" max="7439" width="28.109375" style="61" customWidth="1"/>
    <col min="7440" max="7680" width="9.109375" style="61"/>
    <col min="7681" max="7681" width="57" style="61" customWidth="1"/>
    <col min="7682" max="7682" width="1.44140625" style="61" customWidth="1"/>
    <col min="7683" max="7683" width="19.109375" style="61" customWidth="1"/>
    <col min="7684" max="7684" width="1.6640625" style="61" customWidth="1"/>
    <col min="7685" max="7685" width="19.44140625" style="61" customWidth="1"/>
    <col min="7686" max="7686" width="3.88671875" style="61" customWidth="1"/>
    <col min="7687" max="7687" width="19.44140625" style="61" customWidth="1"/>
    <col min="7688" max="7688" width="3.5546875" style="61" customWidth="1"/>
    <col min="7689" max="7692" width="0" style="61" hidden="1" customWidth="1"/>
    <col min="7693" max="7693" width="19.6640625" style="61" customWidth="1"/>
    <col min="7694" max="7694" width="2.109375" style="61" customWidth="1"/>
    <col min="7695" max="7695" width="28.109375" style="61" customWidth="1"/>
    <col min="7696" max="7936" width="9.109375" style="61"/>
    <col min="7937" max="7937" width="57" style="61" customWidth="1"/>
    <col min="7938" max="7938" width="1.44140625" style="61" customWidth="1"/>
    <col min="7939" max="7939" width="19.109375" style="61" customWidth="1"/>
    <col min="7940" max="7940" width="1.6640625" style="61" customWidth="1"/>
    <col min="7941" max="7941" width="19.44140625" style="61" customWidth="1"/>
    <col min="7942" max="7942" width="3.88671875" style="61" customWidth="1"/>
    <col min="7943" max="7943" width="19.44140625" style="61" customWidth="1"/>
    <col min="7944" max="7944" width="3.5546875" style="61" customWidth="1"/>
    <col min="7945" max="7948" width="0" style="61" hidden="1" customWidth="1"/>
    <col min="7949" max="7949" width="19.6640625" style="61" customWidth="1"/>
    <col min="7950" max="7950" width="2.109375" style="61" customWidth="1"/>
    <col min="7951" max="7951" width="28.109375" style="61" customWidth="1"/>
    <col min="7952" max="8192" width="9.109375" style="61"/>
    <col min="8193" max="8193" width="57" style="61" customWidth="1"/>
    <col min="8194" max="8194" width="1.44140625" style="61" customWidth="1"/>
    <col min="8195" max="8195" width="19.109375" style="61" customWidth="1"/>
    <col min="8196" max="8196" width="1.6640625" style="61" customWidth="1"/>
    <col min="8197" max="8197" width="19.44140625" style="61" customWidth="1"/>
    <col min="8198" max="8198" width="3.88671875" style="61" customWidth="1"/>
    <col min="8199" max="8199" width="19.44140625" style="61" customWidth="1"/>
    <col min="8200" max="8200" width="3.5546875" style="61" customWidth="1"/>
    <col min="8201" max="8204" width="0" style="61" hidden="1" customWidth="1"/>
    <col min="8205" max="8205" width="19.6640625" style="61" customWidth="1"/>
    <col min="8206" max="8206" width="2.109375" style="61" customWidth="1"/>
    <col min="8207" max="8207" width="28.109375" style="61" customWidth="1"/>
    <col min="8208" max="8448" width="9.109375" style="61"/>
    <col min="8449" max="8449" width="57" style="61" customWidth="1"/>
    <col min="8450" max="8450" width="1.44140625" style="61" customWidth="1"/>
    <col min="8451" max="8451" width="19.109375" style="61" customWidth="1"/>
    <col min="8452" max="8452" width="1.6640625" style="61" customWidth="1"/>
    <col min="8453" max="8453" width="19.44140625" style="61" customWidth="1"/>
    <col min="8454" max="8454" width="3.88671875" style="61" customWidth="1"/>
    <col min="8455" max="8455" width="19.44140625" style="61" customWidth="1"/>
    <col min="8456" max="8456" width="3.5546875" style="61" customWidth="1"/>
    <col min="8457" max="8460" width="0" style="61" hidden="1" customWidth="1"/>
    <col min="8461" max="8461" width="19.6640625" style="61" customWidth="1"/>
    <col min="8462" max="8462" width="2.109375" style="61" customWidth="1"/>
    <col min="8463" max="8463" width="28.109375" style="61" customWidth="1"/>
    <col min="8464" max="8704" width="9.109375" style="61"/>
    <col min="8705" max="8705" width="57" style="61" customWidth="1"/>
    <col min="8706" max="8706" width="1.44140625" style="61" customWidth="1"/>
    <col min="8707" max="8707" width="19.109375" style="61" customWidth="1"/>
    <col min="8708" max="8708" width="1.6640625" style="61" customWidth="1"/>
    <col min="8709" max="8709" width="19.44140625" style="61" customWidth="1"/>
    <col min="8710" max="8710" width="3.88671875" style="61" customWidth="1"/>
    <col min="8711" max="8711" width="19.44140625" style="61" customWidth="1"/>
    <col min="8712" max="8712" width="3.5546875" style="61" customWidth="1"/>
    <col min="8713" max="8716" width="0" style="61" hidden="1" customWidth="1"/>
    <col min="8717" max="8717" width="19.6640625" style="61" customWidth="1"/>
    <col min="8718" max="8718" width="2.109375" style="61" customWidth="1"/>
    <col min="8719" max="8719" width="28.109375" style="61" customWidth="1"/>
    <col min="8720" max="8960" width="9.109375" style="61"/>
    <col min="8961" max="8961" width="57" style="61" customWidth="1"/>
    <col min="8962" max="8962" width="1.44140625" style="61" customWidth="1"/>
    <col min="8963" max="8963" width="19.109375" style="61" customWidth="1"/>
    <col min="8964" max="8964" width="1.6640625" style="61" customWidth="1"/>
    <col min="8965" max="8965" width="19.44140625" style="61" customWidth="1"/>
    <col min="8966" max="8966" width="3.88671875" style="61" customWidth="1"/>
    <col min="8967" max="8967" width="19.44140625" style="61" customWidth="1"/>
    <col min="8968" max="8968" width="3.5546875" style="61" customWidth="1"/>
    <col min="8969" max="8972" width="0" style="61" hidden="1" customWidth="1"/>
    <col min="8973" max="8973" width="19.6640625" style="61" customWidth="1"/>
    <col min="8974" max="8974" width="2.109375" style="61" customWidth="1"/>
    <col min="8975" max="8975" width="28.109375" style="61" customWidth="1"/>
    <col min="8976" max="9216" width="9.109375" style="61"/>
    <col min="9217" max="9217" width="57" style="61" customWidth="1"/>
    <col min="9218" max="9218" width="1.44140625" style="61" customWidth="1"/>
    <col min="9219" max="9219" width="19.109375" style="61" customWidth="1"/>
    <col min="9220" max="9220" width="1.6640625" style="61" customWidth="1"/>
    <col min="9221" max="9221" width="19.44140625" style="61" customWidth="1"/>
    <col min="9222" max="9222" width="3.88671875" style="61" customWidth="1"/>
    <col min="9223" max="9223" width="19.44140625" style="61" customWidth="1"/>
    <col min="9224" max="9224" width="3.5546875" style="61" customWidth="1"/>
    <col min="9225" max="9228" width="0" style="61" hidden="1" customWidth="1"/>
    <col min="9229" max="9229" width="19.6640625" style="61" customWidth="1"/>
    <col min="9230" max="9230" width="2.109375" style="61" customWidth="1"/>
    <col min="9231" max="9231" width="28.109375" style="61" customWidth="1"/>
    <col min="9232" max="9472" width="9.109375" style="61"/>
    <col min="9473" max="9473" width="57" style="61" customWidth="1"/>
    <col min="9474" max="9474" width="1.44140625" style="61" customWidth="1"/>
    <col min="9475" max="9475" width="19.109375" style="61" customWidth="1"/>
    <col min="9476" max="9476" width="1.6640625" style="61" customWidth="1"/>
    <col min="9477" max="9477" width="19.44140625" style="61" customWidth="1"/>
    <col min="9478" max="9478" width="3.88671875" style="61" customWidth="1"/>
    <col min="9479" max="9479" width="19.44140625" style="61" customWidth="1"/>
    <col min="9480" max="9480" width="3.5546875" style="61" customWidth="1"/>
    <col min="9481" max="9484" width="0" style="61" hidden="1" customWidth="1"/>
    <col min="9485" max="9485" width="19.6640625" style="61" customWidth="1"/>
    <col min="9486" max="9486" width="2.109375" style="61" customWidth="1"/>
    <col min="9487" max="9487" width="28.109375" style="61" customWidth="1"/>
    <col min="9488" max="9728" width="9.109375" style="61"/>
    <col min="9729" max="9729" width="57" style="61" customWidth="1"/>
    <col min="9730" max="9730" width="1.44140625" style="61" customWidth="1"/>
    <col min="9731" max="9731" width="19.109375" style="61" customWidth="1"/>
    <col min="9732" max="9732" width="1.6640625" style="61" customWidth="1"/>
    <col min="9733" max="9733" width="19.44140625" style="61" customWidth="1"/>
    <col min="9734" max="9734" width="3.88671875" style="61" customWidth="1"/>
    <col min="9735" max="9735" width="19.44140625" style="61" customWidth="1"/>
    <col min="9736" max="9736" width="3.5546875" style="61" customWidth="1"/>
    <col min="9737" max="9740" width="0" style="61" hidden="1" customWidth="1"/>
    <col min="9741" max="9741" width="19.6640625" style="61" customWidth="1"/>
    <col min="9742" max="9742" width="2.109375" style="61" customWidth="1"/>
    <col min="9743" max="9743" width="28.109375" style="61" customWidth="1"/>
    <col min="9744" max="9984" width="9.109375" style="61"/>
    <col min="9985" max="9985" width="57" style="61" customWidth="1"/>
    <col min="9986" max="9986" width="1.44140625" style="61" customWidth="1"/>
    <col min="9987" max="9987" width="19.109375" style="61" customWidth="1"/>
    <col min="9988" max="9988" width="1.6640625" style="61" customWidth="1"/>
    <col min="9989" max="9989" width="19.44140625" style="61" customWidth="1"/>
    <col min="9990" max="9990" width="3.88671875" style="61" customWidth="1"/>
    <col min="9991" max="9991" width="19.44140625" style="61" customWidth="1"/>
    <col min="9992" max="9992" width="3.5546875" style="61" customWidth="1"/>
    <col min="9993" max="9996" width="0" style="61" hidden="1" customWidth="1"/>
    <col min="9997" max="9997" width="19.6640625" style="61" customWidth="1"/>
    <col min="9998" max="9998" width="2.109375" style="61" customWidth="1"/>
    <col min="9999" max="9999" width="28.109375" style="61" customWidth="1"/>
    <col min="10000" max="10240" width="9.109375" style="61"/>
    <col min="10241" max="10241" width="57" style="61" customWidth="1"/>
    <col min="10242" max="10242" width="1.44140625" style="61" customWidth="1"/>
    <col min="10243" max="10243" width="19.109375" style="61" customWidth="1"/>
    <col min="10244" max="10244" width="1.6640625" style="61" customWidth="1"/>
    <col min="10245" max="10245" width="19.44140625" style="61" customWidth="1"/>
    <col min="10246" max="10246" width="3.88671875" style="61" customWidth="1"/>
    <col min="10247" max="10247" width="19.44140625" style="61" customWidth="1"/>
    <col min="10248" max="10248" width="3.5546875" style="61" customWidth="1"/>
    <col min="10249" max="10252" width="0" style="61" hidden="1" customWidth="1"/>
    <col min="10253" max="10253" width="19.6640625" style="61" customWidth="1"/>
    <col min="10254" max="10254" width="2.109375" style="61" customWidth="1"/>
    <col min="10255" max="10255" width="28.109375" style="61" customWidth="1"/>
    <col min="10256" max="10496" width="9.109375" style="61"/>
    <col min="10497" max="10497" width="57" style="61" customWidth="1"/>
    <col min="10498" max="10498" width="1.44140625" style="61" customWidth="1"/>
    <col min="10499" max="10499" width="19.109375" style="61" customWidth="1"/>
    <col min="10500" max="10500" width="1.6640625" style="61" customWidth="1"/>
    <col min="10501" max="10501" width="19.44140625" style="61" customWidth="1"/>
    <col min="10502" max="10502" width="3.88671875" style="61" customWidth="1"/>
    <col min="10503" max="10503" width="19.44140625" style="61" customWidth="1"/>
    <col min="10504" max="10504" width="3.5546875" style="61" customWidth="1"/>
    <col min="10505" max="10508" width="0" style="61" hidden="1" customWidth="1"/>
    <col min="10509" max="10509" width="19.6640625" style="61" customWidth="1"/>
    <col min="10510" max="10510" width="2.109375" style="61" customWidth="1"/>
    <col min="10511" max="10511" width="28.109375" style="61" customWidth="1"/>
    <col min="10512" max="10752" width="9.109375" style="61"/>
    <col min="10753" max="10753" width="57" style="61" customWidth="1"/>
    <col min="10754" max="10754" width="1.44140625" style="61" customWidth="1"/>
    <col min="10755" max="10755" width="19.109375" style="61" customWidth="1"/>
    <col min="10756" max="10756" width="1.6640625" style="61" customWidth="1"/>
    <col min="10757" max="10757" width="19.44140625" style="61" customWidth="1"/>
    <col min="10758" max="10758" width="3.88671875" style="61" customWidth="1"/>
    <col min="10759" max="10759" width="19.44140625" style="61" customWidth="1"/>
    <col min="10760" max="10760" width="3.5546875" style="61" customWidth="1"/>
    <col min="10761" max="10764" width="0" style="61" hidden="1" customWidth="1"/>
    <col min="10765" max="10765" width="19.6640625" style="61" customWidth="1"/>
    <col min="10766" max="10766" width="2.109375" style="61" customWidth="1"/>
    <col min="10767" max="10767" width="28.109375" style="61" customWidth="1"/>
    <col min="10768" max="11008" width="9.109375" style="61"/>
    <col min="11009" max="11009" width="57" style="61" customWidth="1"/>
    <col min="11010" max="11010" width="1.44140625" style="61" customWidth="1"/>
    <col min="11011" max="11011" width="19.109375" style="61" customWidth="1"/>
    <col min="11012" max="11012" width="1.6640625" style="61" customWidth="1"/>
    <col min="11013" max="11013" width="19.44140625" style="61" customWidth="1"/>
    <col min="11014" max="11014" width="3.88671875" style="61" customWidth="1"/>
    <col min="11015" max="11015" width="19.44140625" style="61" customWidth="1"/>
    <col min="11016" max="11016" width="3.5546875" style="61" customWidth="1"/>
    <col min="11017" max="11020" width="0" style="61" hidden="1" customWidth="1"/>
    <col min="11021" max="11021" width="19.6640625" style="61" customWidth="1"/>
    <col min="11022" max="11022" width="2.109375" style="61" customWidth="1"/>
    <col min="11023" max="11023" width="28.109375" style="61" customWidth="1"/>
    <col min="11024" max="11264" width="9.109375" style="61"/>
    <col min="11265" max="11265" width="57" style="61" customWidth="1"/>
    <col min="11266" max="11266" width="1.44140625" style="61" customWidth="1"/>
    <col min="11267" max="11267" width="19.109375" style="61" customWidth="1"/>
    <col min="11268" max="11268" width="1.6640625" style="61" customWidth="1"/>
    <col min="11269" max="11269" width="19.44140625" style="61" customWidth="1"/>
    <col min="11270" max="11270" width="3.88671875" style="61" customWidth="1"/>
    <col min="11271" max="11271" width="19.44140625" style="61" customWidth="1"/>
    <col min="11272" max="11272" width="3.5546875" style="61" customWidth="1"/>
    <col min="11273" max="11276" width="0" style="61" hidden="1" customWidth="1"/>
    <col min="11277" max="11277" width="19.6640625" style="61" customWidth="1"/>
    <col min="11278" max="11278" width="2.109375" style="61" customWidth="1"/>
    <col min="11279" max="11279" width="28.109375" style="61" customWidth="1"/>
    <col min="11280" max="11520" width="9.109375" style="61"/>
    <col min="11521" max="11521" width="57" style="61" customWidth="1"/>
    <col min="11522" max="11522" width="1.44140625" style="61" customWidth="1"/>
    <col min="11523" max="11523" width="19.109375" style="61" customWidth="1"/>
    <col min="11524" max="11524" width="1.6640625" style="61" customWidth="1"/>
    <col min="11525" max="11525" width="19.44140625" style="61" customWidth="1"/>
    <col min="11526" max="11526" width="3.88671875" style="61" customWidth="1"/>
    <col min="11527" max="11527" width="19.44140625" style="61" customWidth="1"/>
    <col min="11528" max="11528" width="3.5546875" style="61" customWidth="1"/>
    <col min="11529" max="11532" width="0" style="61" hidden="1" customWidth="1"/>
    <col min="11533" max="11533" width="19.6640625" style="61" customWidth="1"/>
    <col min="11534" max="11534" width="2.109375" style="61" customWidth="1"/>
    <col min="11535" max="11535" width="28.109375" style="61" customWidth="1"/>
    <col min="11536" max="11776" width="9.109375" style="61"/>
    <col min="11777" max="11777" width="57" style="61" customWidth="1"/>
    <col min="11778" max="11778" width="1.44140625" style="61" customWidth="1"/>
    <col min="11779" max="11779" width="19.109375" style="61" customWidth="1"/>
    <col min="11780" max="11780" width="1.6640625" style="61" customWidth="1"/>
    <col min="11781" max="11781" width="19.44140625" style="61" customWidth="1"/>
    <col min="11782" max="11782" width="3.88671875" style="61" customWidth="1"/>
    <col min="11783" max="11783" width="19.44140625" style="61" customWidth="1"/>
    <col min="11784" max="11784" width="3.5546875" style="61" customWidth="1"/>
    <col min="11785" max="11788" width="0" style="61" hidden="1" customWidth="1"/>
    <col min="11789" max="11789" width="19.6640625" style="61" customWidth="1"/>
    <col min="11790" max="11790" width="2.109375" style="61" customWidth="1"/>
    <col min="11791" max="11791" width="28.109375" style="61" customWidth="1"/>
    <col min="11792" max="12032" width="9.109375" style="61"/>
    <col min="12033" max="12033" width="57" style="61" customWidth="1"/>
    <col min="12034" max="12034" width="1.44140625" style="61" customWidth="1"/>
    <col min="12035" max="12035" width="19.109375" style="61" customWidth="1"/>
    <col min="12036" max="12036" width="1.6640625" style="61" customWidth="1"/>
    <col min="12037" max="12037" width="19.44140625" style="61" customWidth="1"/>
    <col min="12038" max="12038" width="3.88671875" style="61" customWidth="1"/>
    <col min="12039" max="12039" width="19.44140625" style="61" customWidth="1"/>
    <col min="12040" max="12040" width="3.5546875" style="61" customWidth="1"/>
    <col min="12041" max="12044" width="0" style="61" hidden="1" customWidth="1"/>
    <col min="12045" max="12045" width="19.6640625" style="61" customWidth="1"/>
    <col min="12046" max="12046" width="2.109375" style="61" customWidth="1"/>
    <col min="12047" max="12047" width="28.109375" style="61" customWidth="1"/>
    <col min="12048" max="12288" width="9.109375" style="61"/>
    <col min="12289" max="12289" width="57" style="61" customWidth="1"/>
    <col min="12290" max="12290" width="1.44140625" style="61" customWidth="1"/>
    <col min="12291" max="12291" width="19.109375" style="61" customWidth="1"/>
    <col min="12292" max="12292" width="1.6640625" style="61" customWidth="1"/>
    <col min="12293" max="12293" width="19.44140625" style="61" customWidth="1"/>
    <col min="12294" max="12294" width="3.88671875" style="61" customWidth="1"/>
    <col min="12295" max="12295" width="19.44140625" style="61" customWidth="1"/>
    <col min="12296" max="12296" width="3.5546875" style="61" customWidth="1"/>
    <col min="12297" max="12300" width="0" style="61" hidden="1" customWidth="1"/>
    <col min="12301" max="12301" width="19.6640625" style="61" customWidth="1"/>
    <col min="12302" max="12302" width="2.109375" style="61" customWidth="1"/>
    <col min="12303" max="12303" width="28.109375" style="61" customWidth="1"/>
    <col min="12304" max="12544" width="9.109375" style="61"/>
    <col min="12545" max="12545" width="57" style="61" customWidth="1"/>
    <col min="12546" max="12546" width="1.44140625" style="61" customWidth="1"/>
    <col min="12547" max="12547" width="19.109375" style="61" customWidth="1"/>
    <col min="12548" max="12548" width="1.6640625" style="61" customWidth="1"/>
    <col min="12549" max="12549" width="19.44140625" style="61" customWidth="1"/>
    <col min="12550" max="12550" width="3.88671875" style="61" customWidth="1"/>
    <col min="12551" max="12551" width="19.44140625" style="61" customWidth="1"/>
    <col min="12552" max="12552" width="3.5546875" style="61" customWidth="1"/>
    <col min="12553" max="12556" width="0" style="61" hidden="1" customWidth="1"/>
    <col min="12557" max="12557" width="19.6640625" style="61" customWidth="1"/>
    <col min="12558" max="12558" width="2.109375" style="61" customWidth="1"/>
    <col min="12559" max="12559" width="28.109375" style="61" customWidth="1"/>
    <col min="12560" max="12800" width="9.109375" style="61"/>
    <col min="12801" max="12801" width="57" style="61" customWidth="1"/>
    <col min="12802" max="12802" width="1.44140625" style="61" customWidth="1"/>
    <col min="12803" max="12803" width="19.109375" style="61" customWidth="1"/>
    <col min="12804" max="12804" width="1.6640625" style="61" customWidth="1"/>
    <col min="12805" max="12805" width="19.44140625" style="61" customWidth="1"/>
    <col min="12806" max="12806" width="3.88671875" style="61" customWidth="1"/>
    <col min="12807" max="12807" width="19.44140625" style="61" customWidth="1"/>
    <col min="12808" max="12808" width="3.5546875" style="61" customWidth="1"/>
    <col min="12809" max="12812" width="0" style="61" hidden="1" customWidth="1"/>
    <col min="12813" max="12813" width="19.6640625" style="61" customWidth="1"/>
    <col min="12814" max="12814" width="2.109375" style="61" customWidth="1"/>
    <col min="12815" max="12815" width="28.109375" style="61" customWidth="1"/>
    <col min="12816" max="13056" width="9.109375" style="61"/>
    <col min="13057" max="13057" width="57" style="61" customWidth="1"/>
    <col min="13058" max="13058" width="1.44140625" style="61" customWidth="1"/>
    <col min="13059" max="13059" width="19.109375" style="61" customWidth="1"/>
    <col min="13060" max="13060" width="1.6640625" style="61" customWidth="1"/>
    <col min="13061" max="13061" width="19.44140625" style="61" customWidth="1"/>
    <col min="13062" max="13062" width="3.88671875" style="61" customWidth="1"/>
    <col min="13063" max="13063" width="19.44140625" style="61" customWidth="1"/>
    <col min="13064" max="13064" width="3.5546875" style="61" customWidth="1"/>
    <col min="13065" max="13068" width="0" style="61" hidden="1" customWidth="1"/>
    <col min="13069" max="13069" width="19.6640625" style="61" customWidth="1"/>
    <col min="13070" max="13070" width="2.109375" style="61" customWidth="1"/>
    <col min="13071" max="13071" width="28.109375" style="61" customWidth="1"/>
    <col min="13072" max="13312" width="9.109375" style="61"/>
    <col min="13313" max="13313" width="57" style="61" customWidth="1"/>
    <col min="13314" max="13314" width="1.44140625" style="61" customWidth="1"/>
    <col min="13315" max="13315" width="19.109375" style="61" customWidth="1"/>
    <col min="13316" max="13316" width="1.6640625" style="61" customWidth="1"/>
    <col min="13317" max="13317" width="19.44140625" style="61" customWidth="1"/>
    <col min="13318" max="13318" width="3.88671875" style="61" customWidth="1"/>
    <col min="13319" max="13319" width="19.44140625" style="61" customWidth="1"/>
    <col min="13320" max="13320" width="3.5546875" style="61" customWidth="1"/>
    <col min="13321" max="13324" width="0" style="61" hidden="1" customWidth="1"/>
    <col min="13325" max="13325" width="19.6640625" style="61" customWidth="1"/>
    <col min="13326" max="13326" width="2.109375" style="61" customWidth="1"/>
    <col min="13327" max="13327" width="28.109375" style="61" customWidth="1"/>
    <col min="13328" max="13568" width="9.109375" style="61"/>
    <col min="13569" max="13569" width="57" style="61" customWidth="1"/>
    <col min="13570" max="13570" width="1.44140625" style="61" customWidth="1"/>
    <col min="13571" max="13571" width="19.109375" style="61" customWidth="1"/>
    <col min="13572" max="13572" width="1.6640625" style="61" customWidth="1"/>
    <col min="13573" max="13573" width="19.44140625" style="61" customWidth="1"/>
    <col min="13574" max="13574" width="3.88671875" style="61" customWidth="1"/>
    <col min="13575" max="13575" width="19.44140625" style="61" customWidth="1"/>
    <col min="13576" max="13576" width="3.5546875" style="61" customWidth="1"/>
    <col min="13577" max="13580" width="0" style="61" hidden="1" customWidth="1"/>
    <col min="13581" max="13581" width="19.6640625" style="61" customWidth="1"/>
    <col min="13582" max="13582" width="2.109375" style="61" customWidth="1"/>
    <col min="13583" max="13583" width="28.109375" style="61" customWidth="1"/>
    <col min="13584" max="13824" width="9.109375" style="61"/>
    <col min="13825" max="13825" width="57" style="61" customWidth="1"/>
    <col min="13826" max="13826" width="1.44140625" style="61" customWidth="1"/>
    <col min="13827" max="13827" width="19.109375" style="61" customWidth="1"/>
    <col min="13828" max="13828" width="1.6640625" style="61" customWidth="1"/>
    <col min="13829" max="13829" width="19.44140625" style="61" customWidth="1"/>
    <col min="13830" max="13830" width="3.88671875" style="61" customWidth="1"/>
    <col min="13831" max="13831" width="19.44140625" style="61" customWidth="1"/>
    <col min="13832" max="13832" width="3.5546875" style="61" customWidth="1"/>
    <col min="13833" max="13836" width="0" style="61" hidden="1" customWidth="1"/>
    <col min="13837" max="13837" width="19.6640625" style="61" customWidth="1"/>
    <col min="13838" max="13838" width="2.109375" style="61" customWidth="1"/>
    <col min="13839" max="13839" width="28.109375" style="61" customWidth="1"/>
    <col min="13840" max="14080" width="9.109375" style="61"/>
    <col min="14081" max="14081" width="57" style="61" customWidth="1"/>
    <col min="14082" max="14082" width="1.44140625" style="61" customWidth="1"/>
    <col min="14083" max="14083" width="19.109375" style="61" customWidth="1"/>
    <col min="14084" max="14084" width="1.6640625" style="61" customWidth="1"/>
    <col min="14085" max="14085" width="19.44140625" style="61" customWidth="1"/>
    <col min="14086" max="14086" width="3.88671875" style="61" customWidth="1"/>
    <col min="14087" max="14087" width="19.44140625" style="61" customWidth="1"/>
    <col min="14088" max="14088" width="3.5546875" style="61" customWidth="1"/>
    <col min="14089" max="14092" width="0" style="61" hidden="1" customWidth="1"/>
    <col min="14093" max="14093" width="19.6640625" style="61" customWidth="1"/>
    <col min="14094" max="14094" width="2.109375" style="61" customWidth="1"/>
    <col min="14095" max="14095" width="28.109375" style="61" customWidth="1"/>
    <col min="14096" max="14336" width="9.109375" style="61"/>
    <col min="14337" max="14337" width="57" style="61" customWidth="1"/>
    <col min="14338" max="14338" width="1.44140625" style="61" customWidth="1"/>
    <col min="14339" max="14339" width="19.109375" style="61" customWidth="1"/>
    <col min="14340" max="14340" width="1.6640625" style="61" customWidth="1"/>
    <col min="14341" max="14341" width="19.44140625" style="61" customWidth="1"/>
    <col min="14342" max="14342" width="3.88671875" style="61" customWidth="1"/>
    <col min="14343" max="14343" width="19.44140625" style="61" customWidth="1"/>
    <col min="14344" max="14344" width="3.5546875" style="61" customWidth="1"/>
    <col min="14345" max="14348" width="0" style="61" hidden="1" customWidth="1"/>
    <col min="14349" max="14349" width="19.6640625" style="61" customWidth="1"/>
    <col min="14350" max="14350" width="2.109375" style="61" customWidth="1"/>
    <col min="14351" max="14351" width="28.109375" style="61" customWidth="1"/>
    <col min="14352" max="14592" width="9.109375" style="61"/>
    <col min="14593" max="14593" width="57" style="61" customWidth="1"/>
    <col min="14594" max="14594" width="1.44140625" style="61" customWidth="1"/>
    <col min="14595" max="14595" width="19.109375" style="61" customWidth="1"/>
    <col min="14596" max="14596" width="1.6640625" style="61" customWidth="1"/>
    <col min="14597" max="14597" width="19.44140625" style="61" customWidth="1"/>
    <col min="14598" max="14598" width="3.88671875" style="61" customWidth="1"/>
    <col min="14599" max="14599" width="19.44140625" style="61" customWidth="1"/>
    <col min="14600" max="14600" width="3.5546875" style="61" customWidth="1"/>
    <col min="14601" max="14604" width="0" style="61" hidden="1" customWidth="1"/>
    <col min="14605" max="14605" width="19.6640625" style="61" customWidth="1"/>
    <col min="14606" max="14606" width="2.109375" style="61" customWidth="1"/>
    <col min="14607" max="14607" width="28.109375" style="61" customWidth="1"/>
    <col min="14608" max="14848" width="9.109375" style="61"/>
    <col min="14849" max="14849" width="57" style="61" customWidth="1"/>
    <col min="14850" max="14850" width="1.44140625" style="61" customWidth="1"/>
    <col min="14851" max="14851" width="19.109375" style="61" customWidth="1"/>
    <col min="14852" max="14852" width="1.6640625" style="61" customWidth="1"/>
    <col min="14853" max="14853" width="19.44140625" style="61" customWidth="1"/>
    <col min="14854" max="14854" width="3.88671875" style="61" customWidth="1"/>
    <col min="14855" max="14855" width="19.44140625" style="61" customWidth="1"/>
    <col min="14856" max="14856" width="3.5546875" style="61" customWidth="1"/>
    <col min="14857" max="14860" width="0" style="61" hidden="1" customWidth="1"/>
    <col min="14861" max="14861" width="19.6640625" style="61" customWidth="1"/>
    <col min="14862" max="14862" width="2.109375" style="61" customWidth="1"/>
    <col min="14863" max="14863" width="28.109375" style="61" customWidth="1"/>
    <col min="14864" max="15104" width="9.109375" style="61"/>
    <col min="15105" max="15105" width="57" style="61" customWidth="1"/>
    <col min="15106" max="15106" width="1.44140625" style="61" customWidth="1"/>
    <col min="15107" max="15107" width="19.109375" style="61" customWidth="1"/>
    <col min="15108" max="15108" width="1.6640625" style="61" customWidth="1"/>
    <col min="15109" max="15109" width="19.44140625" style="61" customWidth="1"/>
    <col min="15110" max="15110" width="3.88671875" style="61" customWidth="1"/>
    <col min="15111" max="15111" width="19.44140625" style="61" customWidth="1"/>
    <col min="15112" max="15112" width="3.5546875" style="61" customWidth="1"/>
    <col min="15113" max="15116" width="0" style="61" hidden="1" customWidth="1"/>
    <col min="15117" max="15117" width="19.6640625" style="61" customWidth="1"/>
    <col min="15118" max="15118" width="2.109375" style="61" customWidth="1"/>
    <col min="15119" max="15119" width="28.109375" style="61" customWidth="1"/>
    <col min="15120" max="15360" width="9.109375" style="61"/>
    <col min="15361" max="15361" width="57" style="61" customWidth="1"/>
    <col min="15362" max="15362" width="1.44140625" style="61" customWidth="1"/>
    <col min="15363" max="15363" width="19.109375" style="61" customWidth="1"/>
    <col min="15364" max="15364" width="1.6640625" style="61" customWidth="1"/>
    <col min="15365" max="15365" width="19.44140625" style="61" customWidth="1"/>
    <col min="15366" max="15366" width="3.88671875" style="61" customWidth="1"/>
    <col min="15367" max="15367" width="19.44140625" style="61" customWidth="1"/>
    <col min="15368" max="15368" width="3.5546875" style="61" customWidth="1"/>
    <col min="15369" max="15372" width="0" style="61" hidden="1" customWidth="1"/>
    <col min="15373" max="15373" width="19.6640625" style="61" customWidth="1"/>
    <col min="15374" max="15374" width="2.109375" style="61" customWidth="1"/>
    <col min="15375" max="15375" width="28.109375" style="61" customWidth="1"/>
    <col min="15376" max="15616" width="9.109375" style="61"/>
    <col min="15617" max="15617" width="57" style="61" customWidth="1"/>
    <col min="15618" max="15618" width="1.44140625" style="61" customWidth="1"/>
    <col min="15619" max="15619" width="19.109375" style="61" customWidth="1"/>
    <col min="15620" max="15620" width="1.6640625" style="61" customWidth="1"/>
    <col min="15621" max="15621" width="19.44140625" style="61" customWidth="1"/>
    <col min="15622" max="15622" width="3.88671875" style="61" customWidth="1"/>
    <col min="15623" max="15623" width="19.44140625" style="61" customWidth="1"/>
    <col min="15624" max="15624" width="3.5546875" style="61" customWidth="1"/>
    <col min="15625" max="15628" width="0" style="61" hidden="1" customWidth="1"/>
    <col min="15629" max="15629" width="19.6640625" style="61" customWidth="1"/>
    <col min="15630" max="15630" width="2.109375" style="61" customWidth="1"/>
    <col min="15631" max="15631" width="28.109375" style="61" customWidth="1"/>
    <col min="15632" max="15872" width="9.109375" style="61"/>
    <col min="15873" max="15873" width="57" style="61" customWidth="1"/>
    <col min="15874" max="15874" width="1.44140625" style="61" customWidth="1"/>
    <col min="15875" max="15875" width="19.109375" style="61" customWidth="1"/>
    <col min="15876" max="15876" width="1.6640625" style="61" customWidth="1"/>
    <col min="15877" max="15877" width="19.44140625" style="61" customWidth="1"/>
    <col min="15878" max="15878" width="3.88671875" style="61" customWidth="1"/>
    <col min="15879" max="15879" width="19.44140625" style="61" customWidth="1"/>
    <col min="15880" max="15880" width="3.5546875" style="61" customWidth="1"/>
    <col min="15881" max="15884" width="0" style="61" hidden="1" customWidth="1"/>
    <col min="15885" max="15885" width="19.6640625" style="61" customWidth="1"/>
    <col min="15886" max="15886" width="2.109375" style="61" customWidth="1"/>
    <col min="15887" max="15887" width="28.109375" style="61" customWidth="1"/>
    <col min="15888" max="16128" width="9.109375" style="61"/>
    <col min="16129" max="16129" width="57" style="61" customWidth="1"/>
    <col min="16130" max="16130" width="1.44140625" style="61" customWidth="1"/>
    <col min="16131" max="16131" width="19.109375" style="61" customWidth="1"/>
    <col min="16132" max="16132" width="1.6640625" style="61" customWidth="1"/>
    <col min="16133" max="16133" width="19.44140625" style="61" customWidth="1"/>
    <col min="16134" max="16134" width="3.88671875" style="61" customWidth="1"/>
    <col min="16135" max="16135" width="19.44140625" style="61" customWidth="1"/>
    <col min="16136" max="16136" width="3.5546875" style="61" customWidth="1"/>
    <col min="16137" max="16140" width="0" style="61" hidden="1" customWidth="1"/>
    <col min="16141" max="16141" width="19.6640625" style="61" customWidth="1"/>
    <col min="16142" max="16142" width="2.109375" style="61" customWidth="1"/>
    <col min="16143" max="16143" width="28.109375" style="61" customWidth="1"/>
    <col min="16144" max="16384" width="9.109375" style="61"/>
  </cols>
  <sheetData>
    <row r="1" spans="1:15" ht="17.399999999999999" x14ac:dyDescent="0.3">
      <c r="A1" s="410" t="s">
        <v>445</v>
      </c>
      <c r="B1" s="410"/>
      <c r="C1" s="410"/>
      <c r="D1" s="410"/>
      <c r="E1" s="410"/>
      <c r="F1" s="410"/>
      <c r="G1" s="410"/>
      <c r="H1" s="410"/>
      <c r="I1" s="410"/>
      <c r="J1" s="410"/>
      <c r="K1" s="410"/>
      <c r="L1" s="410"/>
      <c r="M1" s="410"/>
      <c r="N1" s="410"/>
      <c r="O1" s="410"/>
    </row>
    <row r="2" spans="1:15" ht="17.399999999999999" x14ac:dyDescent="0.3">
      <c r="A2" s="411" t="s">
        <v>336</v>
      </c>
      <c r="B2" s="410"/>
      <c r="C2" s="410"/>
      <c r="D2" s="410"/>
      <c r="E2" s="410"/>
      <c r="F2" s="410"/>
      <c r="G2" s="410"/>
      <c r="H2" s="410"/>
      <c r="I2" s="410"/>
      <c r="J2" s="410"/>
      <c r="K2" s="410"/>
      <c r="L2" s="410"/>
      <c r="M2" s="410"/>
      <c r="N2" s="410"/>
      <c r="O2" s="410"/>
    </row>
    <row r="3" spans="1:15" ht="17.399999999999999" x14ac:dyDescent="0.3">
      <c r="A3" s="410" t="s">
        <v>337</v>
      </c>
      <c r="B3" s="410"/>
      <c r="C3" s="410"/>
      <c r="D3" s="410"/>
      <c r="E3" s="410"/>
      <c r="F3" s="410"/>
      <c r="G3" s="410"/>
      <c r="H3" s="410"/>
      <c r="I3" s="410"/>
      <c r="J3" s="410"/>
      <c r="K3" s="410"/>
      <c r="L3" s="410"/>
      <c r="M3" s="410"/>
      <c r="N3" s="410"/>
      <c r="O3" s="410"/>
    </row>
    <row r="4" spans="1:15" ht="15.9" customHeight="1" x14ac:dyDescent="0.3">
      <c r="A4" s="161"/>
      <c r="B4" s="161"/>
      <c r="C4" s="83"/>
      <c r="D4" s="83"/>
      <c r="E4" s="83"/>
      <c r="F4" s="83"/>
      <c r="G4" s="83"/>
      <c r="H4" s="83"/>
      <c r="I4" s="83"/>
      <c r="J4" s="83"/>
      <c r="K4" s="83"/>
      <c r="L4" s="83"/>
      <c r="M4" s="83" t="s">
        <v>272</v>
      </c>
    </row>
    <row r="5" spans="1:15" ht="15.9" customHeight="1" x14ac:dyDescent="0.3">
      <c r="A5" s="84"/>
      <c r="B5" s="84"/>
      <c r="C5" s="83" t="s">
        <v>162</v>
      </c>
      <c r="D5" s="83"/>
      <c r="E5" s="168"/>
      <c r="F5" s="83"/>
      <c r="G5" s="168"/>
      <c r="H5" s="83"/>
      <c r="I5" s="168"/>
      <c r="J5" s="168"/>
      <c r="K5" s="83"/>
      <c r="L5" s="83"/>
      <c r="M5" s="83" t="s">
        <v>338</v>
      </c>
      <c r="O5" s="169" t="s">
        <v>164</v>
      </c>
    </row>
    <row r="6" spans="1:15" ht="15.9" customHeight="1" x14ac:dyDescent="0.3">
      <c r="A6" s="84"/>
      <c r="B6" s="84"/>
      <c r="C6" s="83" t="s">
        <v>191</v>
      </c>
      <c r="D6" s="83"/>
      <c r="E6" s="170" t="s">
        <v>339</v>
      </c>
      <c r="F6" s="162"/>
      <c r="G6" s="162"/>
      <c r="H6" s="83"/>
      <c r="I6" s="83"/>
      <c r="J6" s="83"/>
      <c r="K6" s="83"/>
      <c r="L6" s="83"/>
      <c r="M6" s="83" t="s">
        <v>340</v>
      </c>
      <c r="O6" s="169" t="s">
        <v>166</v>
      </c>
    </row>
    <row r="7" spans="1:15" ht="15.9" customHeight="1" x14ac:dyDescent="0.3">
      <c r="A7" s="84"/>
      <c r="B7" s="84"/>
      <c r="C7" s="162" t="s">
        <v>165</v>
      </c>
      <c r="D7" s="83"/>
      <c r="E7" s="162" t="s">
        <v>73</v>
      </c>
      <c r="F7" s="83" t="s">
        <v>341</v>
      </c>
      <c r="G7" s="162" t="s">
        <v>74</v>
      </c>
      <c r="H7" s="83" t="s">
        <v>341</v>
      </c>
      <c r="I7" s="162"/>
      <c r="J7" s="83"/>
      <c r="K7" s="162"/>
      <c r="L7" s="83"/>
      <c r="M7" s="162" t="s">
        <v>165</v>
      </c>
      <c r="O7" s="169" t="s">
        <v>167</v>
      </c>
    </row>
    <row r="8" spans="1:15" ht="18" customHeight="1" x14ac:dyDescent="0.3">
      <c r="A8" s="84" t="s">
        <v>168</v>
      </c>
    </row>
    <row r="9" spans="1:15" ht="18" customHeight="1" x14ac:dyDescent="0.3">
      <c r="A9" s="82" t="s">
        <v>169</v>
      </c>
    </row>
    <row r="10" spans="1:15" ht="18" customHeight="1" x14ac:dyDescent="0.3">
      <c r="A10" s="61" t="s">
        <v>342</v>
      </c>
      <c r="C10" s="171"/>
      <c r="D10" s="172"/>
      <c r="E10" s="171"/>
      <c r="F10" s="173"/>
      <c r="G10" s="171"/>
      <c r="H10" s="173"/>
      <c r="I10" s="172"/>
      <c r="J10" s="172"/>
      <c r="K10" s="172"/>
      <c r="L10" s="172"/>
      <c r="M10" s="171">
        <f>+C10+E10-G10</f>
        <v>0</v>
      </c>
      <c r="O10" s="174" t="s">
        <v>343</v>
      </c>
    </row>
    <row r="11" spans="1:15" ht="18" customHeight="1" x14ac:dyDescent="0.3">
      <c r="A11" s="61" t="s">
        <v>344</v>
      </c>
      <c r="C11" s="171"/>
      <c r="D11" s="172"/>
      <c r="E11" s="171"/>
      <c r="F11" s="173"/>
      <c r="G11" s="171"/>
      <c r="H11" s="173"/>
      <c r="I11" s="172"/>
      <c r="J11" s="172"/>
      <c r="K11" s="172"/>
      <c r="L11" s="172"/>
      <c r="M11" s="171">
        <f>+C11+E11-G11</f>
        <v>0</v>
      </c>
      <c r="O11" s="174" t="s">
        <v>192</v>
      </c>
    </row>
    <row r="12" spans="1:15" ht="18" customHeight="1" x14ac:dyDescent="0.3">
      <c r="A12" s="61" t="s">
        <v>345</v>
      </c>
      <c r="C12" s="171"/>
      <c r="D12" s="172"/>
      <c r="E12" s="171"/>
      <c r="F12" s="173"/>
      <c r="G12" s="171"/>
      <c r="H12" s="173"/>
      <c r="I12" s="172"/>
      <c r="J12" s="172"/>
      <c r="K12" s="172"/>
      <c r="L12" s="172"/>
      <c r="M12" s="171">
        <f t="shared" ref="M12:M19" si="0">+C12+E12-G12</f>
        <v>0</v>
      </c>
      <c r="O12" s="174" t="s">
        <v>170</v>
      </c>
    </row>
    <row r="13" spans="1:15" ht="18" customHeight="1" x14ac:dyDescent="0.3">
      <c r="A13" s="61" t="s">
        <v>346</v>
      </c>
      <c r="C13" s="171"/>
      <c r="D13" s="172"/>
      <c r="E13" s="171"/>
      <c r="F13" s="173"/>
      <c r="G13" s="171"/>
      <c r="H13" s="173"/>
      <c r="I13" s="172"/>
      <c r="J13" s="172"/>
      <c r="K13" s="172"/>
      <c r="L13" s="172"/>
      <c r="M13" s="171">
        <f t="shared" si="0"/>
        <v>0</v>
      </c>
      <c r="O13" s="174" t="s">
        <v>347</v>
      </c>
    </row>
    <row r="14" spans="1:15" ht="18" customHeight="1" x14ac:dyDescent="0.3">
      <c r="A14" s="61" t="s">
        <v>348</v>
      </c>
      <c r="C14" s="171"/>
      <c r="D14" s="172"/>
      <c r="E14" s="171"/>
      <c r="F14" s="173"/>
      <c r="G14" s="171"/>
      <c r="H14" s="173"/>
      <c r="I14" s="172"/>
      <c r="J14" s="172"/>
      <c r="K14" s="172"/>
      <c r="L14" s="172"/>
      <c r="M14" s="171">
        <f t="shared" si="0"/>
        <v>0</v>
      </c>
      <c r="O14" s="174" t="s">
        <v>347</v>
      </c>
    </row>
    <row r="15" spans="1:15" ht="18" customHeight="1" x14ac:dyDescent="0.3">
      <c r="A15" s="61" t="s">
        <v>349</v>
      </c>
      <c r="C15" s="171"/>
      <c r="D15" s="172"/>
      <c r="E15" s="171"/>
      <c r="F15" s="173"/>
      <c r="G15" s="171"/>
      <c r="H15" s="173"/>
      <c r="I15" s="172"/>
      <c r="J15" s="172"/>
      <c r="K15" s="172"/>
      <c r="L15" s="172"/>
      <c r="M15" s="171">
        <f t="shared" si="0"/>
        <v>0</v>
      </c>
      <c r="O15" s="174" t="s">
        <v>347</v>
      </c>
    </row>
    <row r="16" spans="1:15" ht="18" customHeight="1" x14ac:dyDescent="0.3">
      <c r="A16" s="61" t="s">
        <v>350</v>
      </c>
      <c r="C16" s="171"/>
      <c r="D16" s="172"/>
      <c r="E16" s="171"/>
      <c r="F16" s="173"/>
      <c r="G16" s="171"/>
      <c r="H16" s="173"/>
      <c r="I16" s="172"/>
      <c r="J16" s="172"/>
      <c r="K16" s="172"/>
      <c r="L16" s="172"/>
      <c r="M16" s="171">
        <f t="shared" si="0"/>
        <v>0</v>
      </c>
      <c r="O16" s="174" t="s">
        <v>347</v>
      </c>
    </row>
    <row r="17" spans="1:15" ht="18" customHeight="1" x14ac:dyDescent="0.3">
      <c r="A17" s="61" t="s">
        <v>351</v>
      </c>
      <c r="C17" s="171"/>
      <c r="D17" s="172"/>
      <c r="E17" s="171"/>
      <c r="F17" s="173"/>
      <c r="G17" s="171"/>
      <c r="H17" s="173"/>
      <c r="I17" s="172"/>
      <c r="J17" s="172"/>
      <c r="K17" s="172"/>
      <c r="L17" s="172"/>
      <c r="M17" s="171">
        <f t="shared" si="0"/>
        <v>0</v>
      </c>
      <c r="O17" s="174" t="s">
        <v>347</v>
      </c>
    </row>
    <row r="18" spans="1:15" ht="18" customHeight="1" x14ac:dyDescent="0.3">
      <c r="A18" s="61" t="s">
        <v>352</v>
      </c>
      <c r="C18" s="171"/>
      <c r="D18" s="172"/>
      <c r="E18" s="171"/>
      <c r="F18" s="173"/>
      <c r="G18" s="171"/>
      <c r="H18" s="173"/>
      <c r="I18" s="172"/>
      <c r="J18" s="172"/>
      <c r="K18" s="172"/>
      <c r="L18" s="172"/>
      <c r="M18" s="171">
        <f t="shared" si="0"/>
        <v>0</v>
      </c>
      <c r="O18" s="174" t="s">
        <v>347</v>
      </c>
    </row>
    <row r="19" spans="1:15" ht="18" customHeight="1" x14ac:dyDescent="0.3">
      <c r="A19" s="61" t="s">
        <v>353</v>
      </c>
      <c r="B19" s="88"/>
      <c r="C19" s="171"/>
      <c r="D19" s="172"/>
      <c r="E19" s="171"/>
      <c r="F19" s="173"/>
      <c r="G19" s="171"/>
      <c r="H19" s="173"/>
      <c r="I19" s="172"/>
      <c r="J19" s="172"/>
      <c r="K19" s="172"/>
      <c r="L19" s="172"/>
      <c r="M19" s="171">
        <f t="shared" si="0"/>
        <v>0</v>
      </c>
      <c r="O19" s="174" t="s">
        <v>347</v>
      </c>
    </row>
    <row r="20" spans="1:15" ht="18" customHeight="1" x14ac:dyDescent="0.3">
      <c r="A20" s="61" t="s">
        <v>354</v>
      </c>
      <c r="C20" s="172"/>
      <c r="D20" s="172"/>
      <c r="E20" s="172"/>
      <c r="F20" s="173"/>
      <c r="G20" s="172"/>
      <c r="H20" s="173"/>
      <c r="I20" s="172"/>
      <c r="J20" s="172"/>
      <c r="K20" s="172"/>
      <c r="L20" s="172"/>
      <c r="M20" s="172"/>
      <c r="O20" s="174"/>
    </row>
    <row r="21" spans="1:15" ht="18" customHeight="1" x14ac:dyDescent="0.3">
      <c r="A21" s="61" t="s">
        <v>355</v>
      </c>
      <c r="C21" s="171"/>
      <c r="D21" s="172"/>
      <c r="E21" s="171"/>
      <c r="F21" s="173"/>
      <c r="G21" s="171"/>
      <c r="H21" s="173"/>
      <c r="I21" s="172"/>
      <c r="J21" s="172"/>
      <c r="K21" s="172"/>
      <c r="L21" s="172"/>
      <c r="M21" s="171">
        <f t="shared" ref="M21:M37" si="1">+C21+E21-G21</f>
        <v>0</v>
      </c>
      <c r="N21" s="88"/>
      <c r="O21" s="174" t="s">
        <v>347</v>
      </c>
    </row>
    <row r="22" spans="1:15" ht="18" customHeight="1" x14ac:dyDescent="0.3">
      <c r="A22" s="61" t="s">
        <v>356</v>
      </c>
      <c r="C22" s="171"/>
      <c r="D22" s="172"/>
      <c r="E22" s="171"/>
      <c r="F22" s="173"/>
      <c r="G22" s="171"/>
      <c r="H22" s="173"/>
      <c r="I22" s="172"/>
      <c r="J22" s="172"/>
      <c r="K22" s="172"/>
      <c r="L22" s="172"/>
      <c r="M22" s="171">
        <f t="shared" si="1"/>
        <v>0</v>
      </c>
      <c r="O22" s="174" t="s">
        <v>347</v>
      </c>
    </row>
    <row r="23" spans="1:15" ht="18" customHeight="1" x14ac:dyDescent="0.3">
      <c r="A23" s="61" t="s">
        <v>357</v>
      </c>
      <c r="C23" s="171"/>
      <c r="D23" s="172"/>
      <c r="E23" s="171"/>
      <c r="F23" s="173"/>
      <c r="G23" s="171"/>
      <c r="H23" s="173"/>
      <c r="I23" s="172"/>
      <c r="J23" s="172"/>
      <c r="K23" s="172"/>
      <c r="L23" s="172"/>
      <c r="M23" s="171">
        <f t="shared" si="1"/>
        <v>0</v>
      </c>
      <c r="O23" s="174" t="s">
        <v>358</v>
      </c>
    </row>
    <row r="24" spans="1:15" ht="18" customHeight="1" x14ac:dyDescent="0.3">
      <c r="A24" s="61" t="s">
        <v>359</v>
      </c>
      <c r="C24" s="171"/>
      <c r="D24" s="172"/>
      <c r="E24" s="171"/>
      <c r="F24" s="173"/>
      <c r="G24" s="171"/>
      <c r="H24" s="173"/>
      <c r="I24" s="172"/>
      <c r="J24" s="172"/>
      <c r="K24" s="172"/>
      <c r="L24" s="172"/>
      <c r="M24" s="171">
        <f t="shared" si="1"/>
        <v>0</v>
      </c>
      <c r="O24" s="174" t="s">
        <v>360</v>
      </c>
    </row>
    <row r="25" spans="1:15" ht="18" customHeight="1" x14ac:dyDescent="0.3">
      <c r="A25" s="61" t="s">
        <v>361</v>
      </c>
      <c r="C25" s="171"/>
      <c r="D25" s="172"/>
      <c r="E25" s="171"/>
      <c r="F25" s="173"/>
      <c r="G25" s="171"/>
      <c r="H25" s="173"/>
      <c r="I25" s="172"/>
      <c r="J25" s="172"/>
      <c r="K25" s="172"/>
      <c r="L25" s="172"/>
      <c r="M25" s="171">
        <f t="shared" si="1"/>
        <v>0</v>
      </c>
      <c r="O25" s="174" t="s">
        <v>347</v>
      </c>
    </row>
    <row r="26" spans="1:15" ht="18" customHeight="1" x14ac:dyDescent="0.3">
      <c r="A26" s="61" t="s">
        <v>362</v>
      </c>
      <c r="C26" s="171"/>
      <c r="D26" s="172"/>
      <c r="E26" s="171"/>
      <c r="F26" s="173"/>
      <c r="G26" s="171"/>
      <c r="H26" s="173"/>
      <c r="I26" s="172"/>
      <c r="J26" s="172"/>
      <c r="K26" s="172"/>
      <c r="L26" s="172"/>
      <c r="M26" s="171">
        <f t="shared" si="1"/>
        <v>0</v>
      </c>
      <c r="O26" s="174" t="s">
        <v>347</v>
      </c>
    </row>
    <row r="27" spans="1:15" ht="18" customHeight="1" x14ac:dyDescent="0.3">
      <c r="A27" s="61" t="s">
        <v>363</v>
      </c>
      <c r="C27" s="171"/>
      <c r="D27" s="172"/>
      <c r="E27" s="171"/>
      <c r="F27" s="173"/>
      <c r="G27" s="171"/>
      <c r="H27" s="173"/>
      <c r="I27" s="172"/>
      <c r="J27" s="172"/>
      <c r="K27" s="172"/>
      <c r="L27" s="172"/>
      <c r="M27" s="171">
        <f t="shared" si="1"/>
        <v>0</v>
      </c>
      <c r="O27" s="174" t="s">
        <v>347</v>
      </c>
    </row>
    <row r="28" spans="1:15" ht="18" customHeight="1" x14ac:dyDescent="0.3">
      <c r="A28" s="61" t="s">
        <v>364</v>
      </c>
      <c r="C28" s="171"/>
      <c r="D28" s="172"/>
      <c r="E28" s="171"/>
      <c r="F28" s="173"/>
      <c r="G28" s="171"/>
      <c r="H28" s="173"/>
      <c r="I28" s="172"/>
      <c r="J28" s="172"/>
      <c r="K28" s="172"/>
      <c r="L28" s="172"/>
      <c r="M28" s="171">
        <f t="shared" si="1"/>
        <v>0</v>
      </c>
      <c r="O28" s="174" t="s">
        <v>171</v>
      </c>
    </row>
    <row r="29" spans="1:15" ht="18" customHeight="1" x14ac:dyDescent="0.3">
      <c r="A29" s="61" t="s">
        <v>365</v>
      </c>
      <c r="C29" s="171"/>
      <c r="D29" s="172"/>
      <c r="E29" s="171"/>
      <c r="F29" s="173"/>
      <c r="G29" s="171"/>
      <c r="H29" s="173"/>
      <c r="I29" s="172"/>
      <c r="J29" s="172"/>
      <c r="K29" s="172"/>
      <c r="L29" s="172"/>
      <c r="M29" s="171">
        <f t="shared" si="1"/>
        <v>0</v>
      </c>
      <c r="O29" s="174" t="s">
        <v>171</v>
      </c>
    </row>
    <row r="30" spans="1:15" ht="18" customHeight="1" x14ac:dyDescent="0.3">
      <c r="A30" s="61" t="s">
        <v>366</v>
      </c>
      <c r="C30" s="171"/>
      <c r="D30" s="172"/>
      <c r="E30" s="171"/>
      <c r="F30" s="173"/>
      <c r="G30" s="171"/>
      <c r="H30" s="173"/>
      <c r="I30" s="172"/>
      <c r="J30" s="172"/>
      <c r="K30" s="172"/>
      <c r="L30" s="172"/>
      <c r="M30" s="171">
        <f t="shared" si="1"/>
        <v>0</v>
      </c>
      <c r="O30" s="174" t="s">
        <v>367</v>
      </c>
    </row>
    <row r="31" spans="1:15" ht="18" customHeight="1" x14ac:dyDescent="0.3">
      <c r="A31" s="61" t="s">
        <v>368</v>
      </c>
      <c r="C31" s="171"/>
      <c r="D31" s="172"/>
      <c r="E31" s="171"/>
      <c r="F31" s="173"/>
      <c r="G31" s="171"/>
      <c r="H31" s="173"/>
      <c r="I31" s="172"/>
      <c r="J31" s="172"/>
      <c r="K31" s="172"/>
      <c r="L31" s="172"/>
      <c r="M31" s="171">
        <f t="shared" si="1"/>
        <v>0</v>
      </c>
      <c r="O31" s="174" t="s">
        <v>367</v>
      </c>
    </row>
    <row r="32" spans="1:15" ht="18" customHeight="1" x14ac:dyDescent="0.3">
      <c r="A32" s="61" t="s">
        <v>369</v>
      </c>
      <c r="C32" s="171"/>
      <c r="D32" s="172"/>
      <c r="E32" s="171"/>
      <c r="F32" s="173"/>
      <c r="G32" s="171"/>
      <c r="H32" s="173"/>
      <c r="I32" s="172"/>
      <c r="J32" s="172"/>
      <c r="K32" s="172"/>
      <c r="L32" s="172"/>
      <c r="M32" s="171">
        <f t="shared" si="1"/>
        <v>0</v>
      </c>
      <c r="O32" s="174" t="s">
        <v>367</v>
      </c>
    </row>
    <row r="33" spans="1:15" ht="18" customHeight="1" x14ac:dyDescent="0.3">
      <c r="A33" s="61" t="s">
        <v>370</v>
      </c>
      <c r="C33" s="171"/>
      <c r="D33" s="172"/>
      <c r="E33" s="171"/>
      <c r="F33" s="173"/>
      <c r="G33" s="171"/>
      <c r="H33" s="173"/>
      <c r="I33" s="172"/>
      <c r="J33" s="172"/>
      <c r="K33" s="172"/>
      <c r="L33" s="172"/>
      <c r="M33" s="171">
        <f t="shared" si="1"/>
        <v>0</v>
      </c>
      <c r="O33" s="174" t="s">
        <v>360</v>
      </c>
    </row>
    <row r="34" spans="1:15" ht="18" customHeight="1" x14ac:dyDescent="0.3">
      <c r="A34" s="58" t="s">
        <v>371</v>
      </c>
      <c r="C34" s="175"/>
      <c r="D34" s="172"/>
      <c r="E34" s="194">
        <f>Reconciliations!C5</f>
        <v>1328.9508491000001</v>
      </c>
      <c r="F34" s="173" t="s">
        <v>125</v>
      </c>
      <c r="G34" s="171"/>
      <c r="H34" s="173"/>
      <c r="I34" s="172"/>
      <c r="J34" s="172"/>
      <c r="K34" s="172"/>
      <c r="L34" s="172"/>
      <c r="M34" s="175">
        <f>+C34+E34+E35-G34-G35</f>
        <v>2595.4416442800002</v>
      </c>
      <c r="O34" s="185" t="s">
        <v>75</v>
      </c>
    </row>
    <row r="35" spans="1:15" ht="18" customHeight="1" x14ac:dyDescent="0.3">
      <c r="C35" s="172"/>
      <c r="D35" s="172"/>
      <c r="E35" s="194">
        <f>Reconciliations!C16</f>
        <v>1266.4907951800001</v>
      </c>
      <c r="F35" s="173" t="s">
        <v>133</v>
      </c>
      <c r="G35" s="194">
        <f>Reconciliations!D16</f>
        <v>0</v>
      </c>
      <c r="H35" s="173" t="s">
        <v>133</v>
      </c>
      <c r="I35" s="172"/>
      <c r="J35" s="172"/>
      <c r="K35" s="172"/>
      <c r="L35" s="172"/>
      <c r="M35" s="172"/>
      <c r="O35" s="174"/>
    </row>
    <row r="36" spans="1:15" ht="18" customHeight="1" x14ac:dyDescent="0.3">
      <c r="A36" s="61" t="s">
        <v>372</v>
      </c>
      <c r="C36" s="171"/>
      <c r="D36" s="172"/>
      <c r="E36" s="171"/>
      <c r="F36" s="173"/>
      <c r="G36" s="171"/>
      <c r="H36" s="173"/>
      <c r="I36" s="172"/>
      <c r="J36" s="172"/>
      <c r="K36" s="172"/>
      <c r="L36" s="172"/>
      <c r="M36" s="171">
        <f t="shared" si="1"/>
        <v>0</v>
      </c>
      <c r="O36" s="174" t="s">
        <v>373</v>
      </c>
    </row>
    <row r="37" spans="1:15" ht="18" customHeight="1" x14ac:dyDescent="0.3">
      <c r="A37" s="61" t="s">
        <v>374</v>
      </c>
      <c r="C37" s="171"/>
      <c r="D37" s="172"/>
      <c r="E37" s="171"/>
      <c r="F37" s="173"/>
      <c r="G37" s="171"/>
      <c r="H37" s="173"/>
      <c r="I37" s="172"/>
      <c r="J37" s="172"/>
      <c r="K37" s="172"/>
      <c r="L37" s="172"/>
      <c r="M37" s="171">
        <f t="shared" si="1"/>
        <v>0</v>
      </c>
      <c r="O37" s="174" t="s">
        <v>375</v>
      </c>
    </row>
    <row r="38" spans="1:15" ht="18" customHeight="1" x14ac:dyDescent="0.3">
      <c r="C38" s="172"/>
      <c r="D38" s="172"/>
      <c r="E38" s="172"/>
      <c r="F38" s="173"/>
      <c r="G38" s="172"/>
      <c r="H38" s="173"/>
      <c r="I38" s="172"/>
      <c r="J38" s="172"/>
      <c r="K38" s="172"/>
      <c r="L38" s="172"/>
      <c r="M38" s="172"/>
      <c r="O38" s="174"/>
    </row>
    <row r="39" spans="1:15" ht="18" customHeight="1" x14ac:dyDescent="0.3">
      <c r="A39" s="61" t="s">
        <v>376</v>
      </c>
      <c r="C39" s="172"/>
      <c r="D39" s="172"/>
      <c r="E39" s="172"/>
      <c r="F39" s="173"/>
      <c r="G39" s="172"/>
      <c r="H39" s="173"/>
      <c r="I39" s="172"/>
      <c r="J39" s="172"/>
      <c r="K39" s="172"/>
      <c r="L39" s="172"/>
      <c r="M39" s="172"/>
      <c r="O39" s="174"/>
    </row>
    <row r="40" spans="1:15" ht="18" customHeight="1" x14ac:dyDescent="0.3">
      <c r="A40" s="61" t="s">
        <v>377</v>
      </c>
      <c r="C40" s="171"/>
      <c r="D40" s="172"/>
      <c r="E40" s="171"/>
      <c r="F40" s="173"/>
      <c r="G40" s="171"/>
      <c r="H40" s="173"/>
      <c r="I40" s="172"/>
      <c r="J40" s="172"/>
      <c r="K40" s="172"/>
      <c r="L40" s="172"/>
      <c r="M40" s="171">
        <f>+C40+E40-G40</f>
        <v>0</v>
      </c>
      <c r="O40" s="174" t="s">
        <v>172</v>
      </c>
    </row>
    <row r="41" spans="1:15" ht="18" customHeight="1" x14ac:dyDescent="0.3">
      <c r="A41" s="82" t="s">
        <v>173</v>
      </c>
      <c r="C41" s="175"/>
      <c r="D41" s="172"/>
      <c r="E41" s="171"/>
      <c r="F41" s="173"/>
      <c r="G41" s="171"/>
      <c r="H41" s="173"/>
      <c r="I41" s="172"/>
      <c r="J41" s="172"/>
      <c r="K41" s="172"/>
      <c r="L41" s="172"/>
      <c r="M41" s="175">
        <f>+C41+E41+E42+E43-G41-G42-G43</f>
        <v>0</v>
      </c>
      <c r="O41" s="174"/>
    </row>
    <row r="42" spans="1:15" ht="18" customHeight="1" x14ac:dyDescent="0.3">
      <c r="C42" s="172"/>
      <c r="D42" s="172"/>
      <c r="E42" s="171"/>
      <c r="F42" s="173"/>
      <c r="G42" s="171"/>
      <c r="H42" s="173"/>
      <c r="I42" s="172"/>
      <c r="J42" s="172"/>
      <c r="K42" s="172"/>
      <c r="L42" s="172"/>
      <c r="M42" s="172"/>
      <c r="O42" s="174"/>
    </row>
    <row r="43" spans="1:15" ht="18" customHeight="1" x14ac:dyDescent="0.3">
      <c r="C43" s="172"/>
      <c r="D43" s="172"/>
      <c r="E43" s="172"/>
      <c r="F43" s="173"/>
      <c r="G43" s="172"/>
      <c r="H43" s="173"/>
      <c r="I43" s="172"/>
      <c r="J43" s="172"/>
      <c r="K43" s="172"/>
      <c r="L43" s="172"/>
      <c r="O43" s="174" t="s">
        <v>378</v>
      </c>
    </row>
    <row r="44" spans="1:15" ht="18" customHeight="1" x14ac:dyDescent="0.3">
      <c r="A44" s="82" t="s">
        <v>174</v>
      </c>
      <c r="C44" s="176">
        <f>SUM(C10:C43)</f>
        <v>0</v>
      </c>
      <c r="D44" s="172"/>
      <c r="E44" s="176">
        <f>SUM(E10:E43)</f>
        <v>2595.4416442800002</v>
      </c>
      <c r="F44" s="173"/>
      <c r="G44" s="176">
        <f>SUM(G10:G43)</f>
        <v>0</v>
      </c>
      <c r="H44" s="173"/>
      <c r="I44" s="172"/>
      <c r="J44" s="172"/>
      <c r="K44" s="172"/>
      <c r="L44" s="172"/>
      <c r="M44" s="176">
        <f>SUM(M10:M42)</f>
        <v>2595.4416442800002</v>
      </c>
      <c r="N44" s="88"/>
      <c r="O44" s="174" t="s">
        <v>174</v>
      </c>
    </row>
    <row r="45" spans="1:15" ht="18" customHeight="1" x14ac:dyDescent="0.3">
      <c r="A45" s="82"/>
      <c r="C45" s="172"/>
      <c r="D45" s="172"/>
      <c r="E45" s="172"/>
      <c r="F45" s="173"/>
      <c r="G45" s="172"/>
      <c r="H45" s="173"/>
      <c r="I45" s="172"/>
      <c r="J45" s="172"/>
      <c r="K45" s="172"/>
      <c r="L45" s="172"/>
      <c r="M45" s="172"/>
      <c r="N45" s="88"/>
      <c r="O45" s="174"/>
    </row>
    <row r="46" spans="1:15" ht="18" customHeight="1" x14ac:dyDescent="0.3">
      <c r="A46" s="82" t="s">
        <v>175</v>
      </c>
      <c r="C46" s="172"/>
      <c r="D46" s="172"/>
      <c r="E46" s="172"/>
      <c r="F46" s="173"/>
      <c r="G46" s="172"/>
      <c r="H46" s="173"/>
      <c r="I46" s="172"/>
      <c r="J46" s="172"/>
      <c r="K46" s="172"/>
      <c r="L46" s="172"/>
      <c r="M46" s="172"/>
      <c r="N46" s="88"/>
      <c r="O46" s="174"/>
    </row>
    <row r="47" spans="1:15" ht="18" customHeight="1" x14ac:dyDescent="0.3">
      <c r="A47" s="90" t="s">
        <v>379</v>
      </c>
      <c r="C47" s="171"/>
      <c r="D47" s="172"/>
      <c r="E47" s="194">
        <f>Reconciliations!C6</f>
        <v>234865.59289230002</v>
      </c>
      <c r="F47" s="173" t="s">
        <v>125</v>
      </c>
      <c r="G47" s="171"/>
      <c r="H47" s="173"/>
      <c r="I47" s="172"/>
      <c r="J47" s="172"/>
      <c r="K47" s="172"/>
      <c r="L47" s="172"/>
      <c r="M47" s="171">
        <f>+C47+E47+E48+E49-G47-G48-G49</f>
        <v>253049.56135077454</v>
      </c>
      <c r="N47" s="88"/>
      <c r="O47" s="184" t="s">
        <v>127</v>
      </c>
    </row>
    <row r="48" spans="1:15" ht="18" customHeight="1" x14ac:dyDescent="0.3">
      <c r="A48" s="82"/>
      <c r="C48" s="172"/>
      <c r="D48" s="172"/>
      <c r="E48" s="194">
        <f>Reconciliations!C17</f>
        <v>17639.228458474528</v>
      </c>
      <c r="F48" s="173" t="s">
        <v>133</v>
      </c>
      <c r="G48" s="194">
        <f>Reconciliations!D17</f>
        <v>0</v>
      </c>
      <c r="H48" s="173" t="s">
        <v>133</v>
      </c>
      <c r="I48" s="172"/>
      <c r="J48" s="172"/>
      <c r="K48" s="172"/>
      <c r="L48" s="172"/>
      <c r="M48" s="172"/>
      <c r="N48" s="88"/>
    </row>
    <row r="49" spans="1:15" ht="18" customHeight="1" x14ac:dyDescent="0.3">
      <c r="A49" s="82"/>
      <c r="C49" s="172"/>
      <c r="D49" s="172"/>
      <c r="E49" s="194">
        <f>Reconciliations!C49</f>
        <v>27783.24</v>
      </c>
      <c r="F49" s="173" t="s">
        <v>140</v>
      </c>
      <c r="G49" s="194">
        <f>Reconciliations!D36</f>
        <v>27238.5</v>
      </c>
      <c r="H49" s="173" t="s">
        <v>138</v>
      </c>
      <c r="I49" s="172"/>
      <c r="J49" s="172"/>
      <c r="K49" s="172"/>
      <c r="L49" s="172"/>
      <c r="M49" s="172"/>
      <c r="N49" s="88"/>
    </row>
    <row r="50" spans="1:15" ht="18" customHeight="1" x14ac:dyDescent="0.3">
      <c r="A50" s="82" t="s">
        <v>380</v>
      </c>
      <c r="C50" s="171"/>
      <c r="D50" s="172"/>
      <c r="E50" s="171"/>
      <c r="F50" s="173"/>
      <c r="G50" s="171"/>
      <c r="H50" s="173"/>
      <c r="I50" s="172"/>
      <c r="J50" s="172"/>
      <c r="K50" s="172"/>
      <c r="L50" s="172"/>
      <c r="M50" s="171">
        <f>+C50+E50-G50</f>
        <v>0</v>
      </c>
      <c r="N50" s="88"/>
      <c r="O50" s="167" t="s">
        <v>381</v>
      </c>
    </row>
    <row r="51" spans="1:15" ht="18" customHeight="1" x14ac:dyDescent="0.3">
      <c r="A51" s="82" t="s">
        <v>382</v>
      </c>
      <c r="C51" s="175"/>
      <c r="D51" s="172"/>
      <c r="E51" s="171"/>
      <c r="F51" s="173"/>
      <c r="G51" s="171"/>
      <c r="H51" s="173"/>
      <c r="I51" s="172"/>
      <c r="J51" s="172"/>
      <c r="K51" s="172"/>
      <c r="L51" s="172"/>
      <c r="M51" s="171">
        <f>+C51+E51-G51</f>
        <v>0</v>
      </c>
      <c r="N51" s="88"/>
      <c r="O51" s="167" t="s">
        <v>383</v>
      </c>
    </row>
    <row r="52" spans="1:15" ht="18" customHeight="1" x14ac:dyDescent="0.3">
      <c r="A52" s="82"/>
      <c r="C52" s="172"/>
      <c r="D52" s="172"/>
      <c r="E52" s="172"/>
      <c r="F52" s="173"/>
      <c r="G52" s="172"/>
      <c r="H52" s="173"/>
      <c r="I52" s="172"/>
      <c r="J52" s="172"/>
      <c r="K52" s="172"/>
      <c r="L52" s="172"/>
      <c r="M52" s="172"/>
      <c r="N52" s="88"/>
      <c r="O52" s="174"/>
    </row>
    <row r="53" spans="1:15" ht="18" customHeight="1" x14ac:dyDescent="0.3">
      <c r="A53" s="61" t="s">
        <v>176</v>
      </c>
      <c r="C53" s="176">
        <f>SUM(C47:C52)</f>
        <v>0</v>
      </c>
      <c r="D53" s="172"/>
      <c r="E53" s="176">
        <f>SUM(E47:E52)</f>
        <v>280288.06135077454</v>
      </c>
      <c r="F53" s="173"/>
      <c r="G53" s="176">
        <f>SUM(G47:G52)</f>
        <v>27238.5</v>
      </c>
      <c r="H53" s="173"/>
      <c r="I53" s="172"/>
      <c r="J53" s="172"/>
      <c r="K53" s="172"/>
      <c r="L53" s="172"/>
      <c r="M53" s="176">
        <f>SUM(M47:M52)</f>
        <v>253049.56135077454</v>
      </c>
      <c r="N53" s="88"/>
      <c r="O53" s="167" t="s">
        <v>176</v>
      </c>
    </row>
    <row r="54" spans="1:15" ht="18" customHeight="1" x14ac:dyDescent="0.3">
      <c r="C54" s="172"/>
      <c r="D54" s="172"/>
      <c r="E54" s="172"/>
      <c r="F54" s="173"/>
      <c r="G54" s="172"/>
      <c r="H54" s="173"/>
      <c r="I54" s="172"/>
      <c r="J54" s="172"/>
      <c r="K54" s="172"/>
      <c r="L54" s="172"/>
      <c r="M54" s="172"/>
      <c r="N54" s="88"/>
      <c r="O54" s="174"/>
    </row>
    <row r="55" spans="1:15" ht="18" customHeight="1" x14ac:dyDescent="0.3">
      <c r="A55" s="61" t="s">
        <v>384</v>
      </c>
      <c r="C55" s="172"/>
      <c r="D55" s="172"/>
      <c r="E55" s="172"/>
      <c r="F55" s="173"/>
      <c r="G55" s="172"/>
      <c r="H55" s="173"/>
      <c r="I55" s="172"/>
      <c r="J55" s="172"/>
      <c r="K55" s="172"/>
      <c r="L55" s="172"/>
      <c r="M55" s="172"/>
      <c r="N55" s="88"/>
      <c r="O55" s="174"/>
    </row>
    <row r="56" spans="1:15" ht="18" customHeight="1" thickBot="1" x14ac:dyDescent="0.35">
      <c r="A56" s="61" t="s">
        <v>177</v>
      </c>
      <c r="C56" s="177">
        <f>C44+C53</f>
        <v>0</v>
      </c>
      <c r="D56" s="172"/>
      <c r="E56" s="177">
        <f>E44+E53</f>
        <v>282883.50299505453</v>
      </c>
      <c r="F56" s="173"/>
      <c r="G56" s="177">
        <f>G44+G53</f>
        <v>27238.5</v>
      </c>
      <c r="H56" s="173"/>
      <c r="I56" s="172"/>
      <c r="J56" s="172"/>
      <c r="K56" s="172"/>
      <c r="L56" s="172"/>
      <c r="M56" s="177">
        <f>M44+M53</f>
        <v>255645.00299505456</v>
      </c>
      <c r="O56" s="174"/>
    </row>
    <row r="57" spans="1:15" ht="18" customHeight="1" thickTop="1" x14ac:dyDescent="0.3">
      <c r="C57" s="172"/>
      <c r="D57" s="172"/>
      <c r="E57" s="172"/>
      <c r="F57" s="173"/>
      <c r="G57" s="172"/>
      <c r="H57" s="173"/>
      <c r="I57" s="172"/>
      <c r="J57" s="172"/>
      <c r="K57" s="172"/>
      <c r="L57" s="172"/>
      <c r="M57" s="172"/>
      <c r="O57" s="174"/>
    </row>
    <row r="58" spans="1:15" ht="18" customHeight="1" x14ac:dyDescent="0.3">
      <c r="A58" s="178" t="s">
        <v>385</v>
      </c>
      <c r="C58" s="172"/>
      <c r="D58" s="172"/>
      <c r="E58" s="172"/>
      <c r="F58" s="173"/>
      <c r="G58" s="172"/>
      <c r="H58" s="173"/>
      <c r="I58" s="172"/>
      <c r="J58" s="172"/>
      <c r="K58" s="172"/>
      <c r="L58" s="172"/>
      <c r="M58" s="172"/>
      <c r="N58" s="88"/>
      <c r="O58" s="174"/>
    </row>
    <row r="59" spans="1:15" ht="18" customHeight="1" x14ac:dyDescent="0.3">
      <c r="A59" s="178" t="s">
        <v>178</v>
      </c>
      <c r="C59" s="172"/>
      <c r="D59" s="172"/>
      <c r="E59" s="172"/>
      <c r="F59" s="173"/>
      <c r="G59" s="172"/>
      <c r="H59" s="173"/>
      <c r="I59" s="172"/>
      <c r="J59" s="172"/>
      <c r="K59" s="172"/>
      <c r="L59" s="172"/>
      <c r="M59" s="172"/>
      <c r="N59" s="88"/>
      <c r="O59" s="174"/>
    </row>
    <row r="60" spans="1:15" ht="20.100000000000001" customHeight="1" x14ac:dyDescent="0.3">
      <c r="A60" s="82" t="s">
        <v>179</v>
      </c>
      <c r="C60" s="173"/>
      <c r="D60" s="173"/>
      <c r="E60" s="173"/>
      <c r="F60" s="173"/>
      <c r="G60" s="173"/>
      <c r="H60" s="173"/>
      <c r="I60" s="173"/>
      <c r="J60" s="173"/>
      <c r="K60" s="173"/>
      <c r="L60" s="173"/>
      <c r="M60" s="173"/>
      <c r="N60" s="88"/>
      <c r="O60" s="174"/>
    </row>
    <row r="61" spans="1:15" ht="20.100000000000001" customHeight="1" x14ac:dyDescent="0.3">
      <c r="A61" s="61" t="s">
        <v>386</v>
      </c>
      <c r="C61" s="171"/>
      <c r="D61" s="172"/>
      <c r="E61" s="171"/>
      <c r="F61" s="173"/>
      <c r="G61" s="171"/>
      <c r="H61" s="173"/>
      <c r="I61" s="172"/>
      <c r="J61" s="172"/>
      <c r="K61" s="172"/>
      <c r="L61" s="172"/>
      <c r="M61" s="171">
        <f>+C61-E61+G61</f>
        <v>0</v>
      </c>
      <c r="O61" s="174" t="s">
        <v>387</v>
      </c>
    </row>
    <row r="62" spans="1:15" ht="20.100000000000001" customHeight="1" x14ac:dyDescent="0.3">
      <c r="A62" s="61" t="s">
        <v>388</v>
      </c>
      <c r="C62" s="171"/>
      <c r="D62" s="172"/>
      <c r="E62" s="171"/>
      <c r="F62" s="173"/>
      <c r="G62" s="171"/>
      <c r="H62" s="173"/>
      <c r="I62" s="172"/>
      <c r="J62" s="172"/>
      <c r="K62" s="172"/>
      <c r="L62" s="172"/>
      <c r="M62" s="171">
        <f t="shared" ref="M62:M85" si="2">+C62-E62+G62</f>
        <v>0</v>
      </c>
      <c r="O62" s="174" t="s">
        <v>387</v>
      </c>
    </row>
    <row r="63" spans="1:15" ht="20.100000000000001" customHeight="1" x14ac:dyDescent="0.3">
      <c r="A63" s="61" t="s">
        <v>389</v>
      </c>
      <c r="C63" s="171"/>
      <c r="D63" s="172"/>
      <c r="E63" s="171"/>
      <c r="F63" s="173"/>
      <c r="G63" s="171"/>
      <c r="H63" s="173"/>
      <c r="I63" s="172"/>
      <c r="J63" s="172"/>
      <c r="K63" s="172"/>
      <c r="L63" s="172"/>
      <c r="M63" s="171">
        <f t="shared" si="2"/>
        <v>0</v>
      </c>
      <c r="O63" s="174" t="s">
        <v>390</v>
      </c>
    </row>
    <row r="64" spans="1:15" ht="20.100000000000001" customHeight="1" x14ac:dyDescent="0.3">
      <c r="A64" s="61" t="s">
        <v>391</v>
      </c>
      <c r="C64" s="171"/>
      <c r="D64" s="172"/>
      <c r="E64" s="171"/>
      <c r="F64" s="173"/>
      <c r="G64" s="171"/>
      <c r="H64" s="173"/>
      <c r="I64" s="172"/>
      <c r="J64" s="172"/>
      <c r="K64" s="172"/>
      <c r="L64" s="172"/>
      <c r="M64" s="171">
        <f t="shared" si="2"/>
        <v>0</v>
      </c>
      <c r="O64" s="174" t="s">
        <v>390</v>
      </c>
    </row>
    <row r="65" spans="1:15" ht="20.100000000000001" customHeight="1" x14ac:dyDescent="0.3">
      <c r="A65" s="61" t="s">
        <v>392</v>
      </c>
      <c r="C65" s="171"/>
      <c r="D65" s="172"/>
      <c r="E65" s="171"/>
      <c r="F65" s="173"/>
      <c r="G65" s="171"/>
      <c r="H65" s="173"/>
      <c r="I65" s="172"/>
      <c r="J65" s="172"/>
      <c r="K65" s="172"/>
      <c r="L65" s="172"/>
      <c r="M65" s="171">
        <f t="shared" si="2"/>
        <v>0</v>
      </c>
      <c r="O65" s="174" t="s">
        <v>390</v>
      </c>
    </row>
    <row r="66" spans="1:15" ht="20.100000000000001" customHeight="1" x14ac:dyDescent="0.3">
      <c r="A66" s="61" t="s">
        <v>393</v>
      </c>
      <c r="C66" s="171"/>
      <c r="D66" s="172"/>
      <c r="E66" s="171"/>
      <c r="F66" s="173"/>
      <c r="G66" s="171"/>
      <c r="H66" s="173"/>
      <c r="I66" s="172"/>
      <c r="J66" s="172"/>
      <c r="K66" s="172"/>
      <c r="L66" s="172"/>
      <c r="M66" s="171">
        <f t="shared" si="2"/>
        <v>0</v>
      </c>
      <c r="O66" s="174" t="s">
        <v>390</v>
      </c>
    </row>
    <row r="67" spans="1:15" ht="20.100000000000001" customHeight="1" x14ac:dyDescent="0.3">
      <c r="A67" s="61" t="s">
        <v>394</v>
      </c>
      <c r="C67" s="171"/>
      <c r="D67" s="172"/>
      <c r="E67" s="171"/>
      <c r="F67" s="173"/>
      <c r="G67" s="171"/>
      <c r="H67" s="173"/>
      <c r="I67" s="172"/>
      <c r="J67" s="172"/>
      <c r="K67" s="172"/>
      <c r="L67" s="172"/>
      <c r="M67" s="171">
        <f t="shared" si="2"/>
        <v>0</v>
      </c>
      <c r="O67" s="174" t="s">
        <v>390</v>
      </c>
    </row>
    <row r="68" spans="1:15" ht="20.100000000000001" customHeight="1" x14ac:dyDescent="0.3">
      <c r="A68" s="61" t="s">
        <v>395</v>
      </c>
      <c r="C68" s="171"/>
      <c r="D68" s="172"/>
      <c r="E68" s="171"/>
      <c r="F68" s="173"/>
      <c r="G68" s="171"/>
      <c r="H68" s="173"/>
      <c r="I68" s="172"/>
      <c r="J68" s="172"/>
      <c r="K68" s="172"/>
      <c r="L68" s="172"/>
      <c r="M68" s="171">
        <f t="shared" si="2"/>
        <v>0</v>
      </c>
      <c r="O68" s="174" t="s">
        <v>360</v>
      </c>
    </row>
    <row r="69" spans="1:15" ht="20.100000000000001" customHeight="1" x14ac:dyDescent="0.3">
      <c r="A69" s="61" t="s">
        <v>396</v>
      </c>
      <c r="C69" s="171"/>
      <c r="D69" s="172"/>
      <c r="E69" s="171"/>
      <c r="F69" s="173"/>
      <c r="G69" s="171"/>
      <c r="H69" s="173"/>
      <c r="I69" s="172"/>
      <c r="J69" s="172"/>
      <c r="K69" s="172"/>
      <c r="L69" s="172"/>
      <c r="M69" s="171">
        <f t="shared" si="2"/>
        <v>0</v>
      </c>
      <c r="O69" s="174" t="s">
        <v>390</v>
      </c>
    </row>
    <row r="70" spans="1:15" ht="20.100000000000001" customHeight="1" x14ac:dyDescent="0.3">
      <c r="A70" s="61" t="s">
        <v>397</v>
      </c>
      <c r="C70" s="171"/>
      <c r="D70" s="172"/>
      <c r="E70" s="171"/>
      <c r="F70" s="173"/>
      <c r="G70" s="171"/>
      <c r="H70" s="173"/>
      <c r="I70" s="172"/>
      <c r="J70" s="172"/>
      <c r="K70" s="172"/>
      <c r="L70" s="172"/>
      <c r="M70" s="171">
        <f t="shared" si="2"/>
        <v>0</v>
      </c>
      <c r="O70" s="174" t="s">
        <v>390</v>
      </c>
    </row>
    <row r="71" spans="1:15" ht="20.100000000000001" customHeight="1" x14ac:dyDescent="0.3">
      <c r="A71" s="61" t="s">
        <v>398</v>
      </c>
      <c r="C71" s="171"/>
      <c r="D71" s="172"/>
      <c r="E71" s="171"/>
      <c r="F71" s="173"/>
      <c r="G71" s="171"/>
      <c r="H71" s="173"/>
      <c r="I71" s="172"/>
      <c r="J71" s="172"/>
      <c r="K71" s="172"/>
      <c r="L71" s="172"/>
      <c r="M71" s="171">
        <f t="shared" si="2"/>
        <v>0</v>
      </c>
      <c r="O71" s="174" t="s">
        <v>390</v>
      </c>
    </row>
    <row r="72" spans="1:15" ht="20.100000000000001" customHeight="1" x14ac:dyDescent="0.3">
      <c r="A72" s="61" t="s">
        <v>399</v>
      </c>
      <c r="C72" s="171"/>
      <c r="D72" s="172"/>
      <c r="E72" s="171"/>
      <c r="F72" s="173"/>
      <c r="G72" s="171"/>
      <c r="H72" s="173"/>
      <c r="I72" s="172"/>
      <c r="J72" s="172"/>
      <c r="K72" s="172"/>
      <c r="L72" s="172"/>
      <c r="M72" s="171">
        <f t="shared" si="2"/>
        <v>0</v>
      </c>
      <c r="O72" s="174" t="s">
        <v>390</v>
      </c>
    </row>
    <row r="73" spans="1:15" ht="20.100000000000001" customHeight="1" x14ac:dyDescent="0.3">
      <c r="A73" s="61" t="s">
        <v>400</v>
      </c>
      <c r="C73" s="171"/>
      <c r="D73" s="172"/>
      <c r="E73" s="171"/>
      <c r="F73" s="173"/>
      <c r="G73" s="171"/>
      <c r="H73" s="173"/>
      <c r="I73" s="172"/>
      <c r="J73" s="172"/>
      <c r="K73" s="172"/>
      <c r="L73" s="172"/>
      <c r="M73" s="171">
        <f t="shared" si="2"/>
        <v>0</v>
      </c>
      <c r="O73" s="174" t="s">
        <v>401</v>
      </c>
    </row>
    <row r="74" spans="1:15" ht="20.100000000000001" customHeight="1" x14ac:dyDescent="0.3">
      <c r="A74" s="61" t="s">
        <v>402</v>
      </c>
      <c r="C74" s="171"/>
      <c r="D74" s="172"/>
      <c r="E74" s="171"/>
      <c r="F74" s="173"/>
      <c r="G74" s="171"/>
      <c r="H74" s="173"/>
      <c r="I74" s="172"/>
      <c r="J74" s="172"/>
      <c r="K74" s="172"/>
      <c r="L74" s="172"/>
      <c r="M74" s="171">
        <f t="shared" si="2"/>
        <v>0</v>
      </c>
      <c r="O74" s="174" t="s">
        <v>390</v>
      </c>
    </row>
    <row r="75" spans="1:15" ht="20.100000000000001" customHeight="1" x14ac:dyDescent="0.3">
      <c r="A75" s="61" t="s">
        <v>403</v>
      </c>
      <c r="C75" s="171"/>
      <c r="D75" s="172"/>
      <c r="E75" s="171"/>
      <c r="F75" s="173"/>
      <c r="G75" s="171"/>
      <c r="H75" s="173"/>
      <c r="I75" s="172"/>
      <c r="J75" s="172"/>
      <c r="K75" s="172"/>
      <c r="L75" s="172"/>
      <c r="M75" s="171">
        <f t="shared" si="2"/>
        <v>0</v>
      </c>
      <c r="O75" s="174" t="s">
        <v>390</v>
      </c>
    </row>
    <row r="76" spans="1:15" ht="20.100000000000001" customHeight="1" x14ac:dyDescent="0.3">
      <c r="A76" s="61" t="s">
        <v>404</v>
      </c>
      <c r="C76" s="171"/>
      <c r="D76" s="172"/>
      <c r="E76" s="171"/>
      <c r="F76" s="173"/>
      <c r="G76" s="171"/>
      <c r="H76" s="173"/>
      <c r="I76" s="172"/>
      <c r="J76" s="172"/>
      <c r="K76" s="172"/>
      <c r="L76" s="172"/>
      <c r="M76" s="171">
        <f t="shared" si="2"/>
        <v>0</v>
      </c>
      <c r="O76" s="174" t="s">
        <v>390</v>
      </c>
    </row>
    <row r="77" spans="1:15" ht="20.100000000000001" customHeight="1" x14ac:dyDescent="0.3">
      <c r="A77" s="61" t="s">
        <v>405</v>
      </c>
      <c r="B77" s="88"/>
      <c r="C77" s="171"/>
      <c r="D77" s="172"/>
      <c r="E77" s="171"/>
      <c r="F77" s="173"/>
      <c r="G77" s="171"/>
      <c r="H77" s="173"/>
      <c r="I77" s="172"/>
      <c r="J77" s="172"/>
      <c r="K77" s="172"/>
      <c r="L77" s="172"/>
      <c r="M77" s="171">
        <f t="shared" si="2"/>
        <v>0</v>
      </c>
      <c r="N77" s="88"/>
      <c r="O77" s="174" t="s">
        <v>390</v>
      </c>
    </row>
    <row r="78" spans="1:15" ht="20.100000000000001" customHeight="1" x14ac:dyDescent="0.3">
      <c r="A78" s="61" t="s">
        <v>406</v>
      </c>
      <c r="C78" s="171"/>
      <c r="D78" s="172"/>
      <c r="E78" s="171"/>
      <c r="F78" s="173"/>
      <c r="G78" s="171"/>
      <c r="H78" s="173"/>
      <c r="I78" s="172"/>
      <c r="J78" s="172"/>
      <c r="K78" s="172"/>
      <c r="L78" s="172"/>
      <c r="M78" s="171">
        <f t="shared" si="2"/>
        <v>0</v>
      </c>
      <c r="O78" s="174" t="s">
        <v>390</v>
      </c>
    </row>
    <row r="79" spans="1:15" ht="20.100000000000001" customHeight="1" x14ac:dyDescent="0.3">
      <c r="A79" s="61" t="s">
        <v>407</v>
      </c>
      <c r="C79" s="171"/>
      <c r="D79" s="172"/>
      <c r="E79" s="171"/>
      <c r="F79" s="173"/>
      <c r="G79" s="171"/>
      <c r="H79" s="173"/>
      <c r="I79" s="172"/>
      <c r="J79" s="172"/>
      <c r="K79" s="172"/>
      <c r="L79" s="172"/>
      <c r="M79" s="171">
        <f t="shared" si="2"/>
        <v>0</v>
      </c>
      <c r="O79" s="174" t="s">
        <v>390</v>
      </c>
    </row>
    <row r="80" spans="1:15" ht="20.100000000000001" customHeight="1" x14ac:dyDescent="0.3">
      <c r="A80" s="82" t="s">
        <v>408</v>
      </c>
      <c r="C80" s="171"/>
      <c r="D80" s="172"/>
      <c r="E80" s="171"/>
      <c r="F80" s="173"/>
      <c r="G80" s="171"/>
      <c r="H80" s="173"/>
      <c r="I80" s="172"/>
      <c r="J80" s="172"/>
      <c r="K80" s="172"/>
      <c r="L80" s="172"/>
      <c r="M80" s="171">
        <f t="shared" si="2"/>
        <v>0</v>
      </c>
      <c r="O80" s="174" t="s">
        <v>390</v>
      </c>
    </row>
    <row r="81" spans="1:15" ht="20.100000000000001" customHeight="1" x14ac:dyDescent="0.3">
      <c r="A81" s="61" t="s">
        <v>409</v>
      </c>
      <c r="C81" s="171"/>
      <c r="D81" s="172"/>
      <c r="E81" s="171"/>
      <c r="F81" s="173"/>
      <c r="G81" s="171"/>
      <c r="H81" s="173"/>
      <c r="I81" s="172"/>
      <c r="J81" s="172"/>
      <c r="K81" s="172"/>
      <c r="L81" s="172"/>
      <c r="M81" s="171">
        <f t="shared" si="2"/>
        <v>0</v>
      </c>
      <c r="O81" s="174" t="s">
        <v>390</v>
      </c>
    </row>
    <row r="82" spans="1:15" ht="20.100000000000001" customHeight="1" x14ac:dyDescent="0.3">
      <c r="A82" s="61" t="s">
        <v>410</v>
      </c>
      <c r="C82" s="171"/>
      <c r="D82" s="172"/>
      <c r="E82" s="171"/>
      <c r="F82" s="173"/>
      <c r="G82" s="171"/>
      <c r="H82" s="173"/>
      <c r="I82" s="172"/>
      <c r="J82" s="172"/>
      <c r="K82" s="172"/>
      <c r="L82" s="172"/>
      <c r="M82" s="171">
        <f t="shared" si="2"/>
        <v>0</v>
      </c>
      <c r="O82" s="174" t="s">
        <v>390</v>
      </c>
    </row>
    <row r="83" spans="1:15" ht="20.100000000000001" customHeight="1" x14ac:dyDescent="0.3">
      <c r="A83" s="61" t="s">
        <v>411</v>
      </c>
      <c r="C83" s="171"/>
      <c r="D83" s="172"/>
      <c r="E83" s="171"/>
      <c r="F83" s="173"/>
      <c r="G83" s="171"/>
      <c r="H83" s="173"/>
      <c r="I83" s="172"/>
      <c r="J83" s="172"/>
      <c r="K83" s="172"/>
      <c r="L83" s="172"/>
      <c r="M83" s="171">
        <f t="shared" si="2"/>
        <v>0</v>
      </c>
      <c r="O83" s="174" t="s">
        <v>390</v>
      </c>
    </row>
    <row r="84" spans="1:15" ht="20.100000000000001" customHeight="1" x14ac:dyDescent="0.3">
      <c r="A84" s="61" t="s">
        <v>412</v>
      </c>
      <c r="C84" s="171"/>
      <c r="D84" s="172"/>
      <c r="E84" s="171"/>
      <c r="F84" s="173"/>
      <c r="G84" s="171"/>
      <c r="H84" s="173"/>
      <c r="I84" s="172"/>
      <c r="J84" s="172"/>
      <c r="K84" s="172"/>
      <c r="L84" s="172"/>
      <c r="M84" s="171">
        <f>+C84-E84+G84</f>
        <v>0</v>
      </c>
      <c r="O84" s="179" t="s">
        <v>401</v>
      </c>
    </row>
    <row r="85" spans="1:15" ht="20.100000000000001" customHeight="1" x14ac:dyDescent="0.3">
      <c r="A85" s="61" t="s">
        <v>413</v>
      </c>
      <c r="C85" s="171"/>
      <c r="D85" s="172"/>
      <c r="E85" s="171"/>
      <c r="F85" s="173"/>
      <c r="G85" s="171"/>
      <c r="H85" s="173"/>
      <c r="I85" s="172"/>
      <c r="J85" s="172"/>
      <c r="K85" s="172"/>
      <c r="L85" s="172"/>
      <c r="M85" s="171">
        <f t="shared" si="2"/>
        <v>0</v>
      </c>
      <c r="O85" s="174" t="s">
        <v>360</v>
      </c>
    </row>
    <row r="86" spans="1:15" ht="20.100000000000001" customHeight="1" x14ac:dyDescent="0.3">
      <c r="A86" s="61" t="s">
        <v>414</v>
      </c>
      <c r="C86" s="173"/>
      <c r="D86" s="173"/>
      <c r="E86" s="173"/>
      <c r="F86" s="173"/>
      <c r="G86" s="173"/>
      <c r="H86" s="173"/>
      <c r="I86" s="173"/>
      <c r="J86" s="173"/>
      <c r="K86" s="173"/>
      <c r="L86" s="173"/>
      <c r="M86" s="173"/>
      <c r="O86" s="174"/>
    </row>
    <row r="87" spans="1:15" ht="20.100000000000001" customHeight="1" x14ac:dyDescent="0.3">
      <c r="A87" s="61" t="s">
        <v>415</v>
      </c>
      <c r="C87" s="171"/>
      <c r="D87" s="172"/>
      <c r="E87" s="171"/>
      <c r="F87" s="173"/>
      <c r="G87" s="171"/>
      <c r="H87" s="173"/>
      <c r="I87" s="172"/>
      <c r="J87" s="172"/>
      <c r="K87" s="172"/>
      <c r="L87" s="172"/>
      <c r="M87" s="171">
        <f>+C87-E87-E88-E89+G87+G88+G89</f>
        <v>0</v>
      </c>
      <c r="N87" s="86"/>
      <c r="O87" s="179" t="s">
        <v>401</v>
      </c>
    </row>
    <row r="88" spans="1:15" ht="20.100000000000001" customHeight="1" x14ac:dyDescent="0.3">
      <c r="C88" s="172"/>
      <c r="D88" s="172"/>
      <c r="E88" s="171"/>
      <c r="F88" s="173"/>
      <c r="G88" s="171"/>
      <c r="H88" s="173"/>
      <c r="I88" s="172"/>
      <c r="J88" s="172"/>
      <c r="K88" s="172"/>
      <c r="L88" s="172"/>
      <c r="M88" s="172"/>
      <c r="N88" s="86"/>
      <c r="O88" s="179"/>
    </row>
    <row r="89" spans="1:15" ht="20.100000000000001" customHeight="1" x14ac:dyDescent="0.3">
      <c r="C89" s="172"/>
      <c r="D89" s="172"/>
      <c r="E89" s="171"/>
      <c r="F89" s="173"/>
      <c r="G89" s="171"/>
      <c r="H89" s="173"/>
      <c r="I89" s="172"/>
      <c r="J89" s="172"/>
      <c r="K89" s="172"/>
      <c r="L89" s="172"/>
      <c r="M89" s="172"/>
      <c r="N89" s="86"/>
      <c r="O89" s="179"/>
    </row>
    <row r="90" spans="1:15" ht="20.100000000000001" customHeight="1" x14ac:dyDescent="0.3">
      <c r="A90" s="58" t="s">
        <v>416</v>
      </c>
      <c r="C90" s="171"/>
      <c r="D90" s="172"/>
      <c r="E90" s="171"/>
      <c r="F90" s="173"/>
      <c r="G90" s="194">
        <f>Reconciliations!D7</f>
        <v>0</v>
      </c>
      <c r="H90" s="173" t="s">
        <v>125</v>
      </c>
      <c r="I90" s="172"/>
      <c r="J90" s="172"/>
      <c r="K90" s="172"/>
      <c r="L90" s="172"/>
      <c r="M90" s="171">
        <f>+C90-E90-E91-E92+G90+G91+G92</f>
        <v>0</v>
      </c>
      <c r="N90" s="86"/>
      <c r="O90" s="187" t="s">
        <v>417</v>
      </c>
    </row>
    <row r="91" spans="1:15" ht="20.100000000000001" customHeight="1" x14ac:dyDescent="0.3">
      <c r="C91" s="172"/>
      <c r="D91" s="172"/>
      <c r="E91" s="195">
        <f>Reconciliations!C18</f>
        <v>0</v>
      </c>
      <c r="F91" s="173" t="s">
        <v>133</v>
      </c>
      <c r="G91" s="195">
        <f>Reconciliations!D18</f>
        <v>0</v>
      </c>
      <c r="H91" s="173" t="s">
        <v>133</v>
      </c>
      <c r="I91" s="172"/>
      <c r="J91" s="172"/>
      <c r="K91" s="172"/>
      <c r="L91" s="172"/>
      <c r="M91" s="172"/>
      <c r="N91" s="86"/>
      <c r="O91" s="179"/>
    </row>
    <row r="92" spans="1:15" ht="20.100000000000001" customHeight="1" x14ac:dyDescent="0.3">
      <c r="C92" s="172"/>
      <c r="D92" s="172"/>
      <c r="E92" s="171"/>
      <c r="F92" s="173"/>
      <c r="G92" s="175"/>
      <c r="H92" s="173"/>
      <c r="I92" s="172"/>
      <c r="J92" s="172"/>
      <c r="K92" s="172"/>
      <c r="L92" s="172"/>
      <c r="M92" s="172"/>
      <c r="N92" s="86"/>
      <c r="O92" s="179"/>
    </row>
    <row r="93" spans="1:15" ht="20.100000000000001" customHeight="1" x14ac:dyDescent="0.3">
      <c r="C93" s="172"/>
      <c r="D93" s="172"/>
      <c r="E93" s="172"/>
      <c r="F93" s="173"/>
      <c r="G93" s="172"/>
      <c r="H93" s="173"/>
      <c r="I93" s="172"/>
      <c r="J93" s="172"/>
      <c r="K93" s="172"/>
      <c r="L93" s="172"/>
      <c r="M93" s="172"/>
      <c r="O93" s="174"/>
    </row>
    <row r="94" spans="1:15" ht="20.100000000000001" customHeight="1" x14ac:dyDescent="0.3">
      <c r="A94" s="61" t="s">
        <v>180</v>
      </c>
      <c r="C94" s="176">
        <f>+SUM(C61:C93)</f>
        <v>0</v>
      </c>
      <c r="D94" s="172"/>
      <c r="E94" s="176">
        <f>+SUM(E61:E93)</f>
        <v>0</v>
      </c>
      <c r="F94" s="173"/>
      <c r="G94" s="176">
        <f>+SUM(G61:G93)</f>
        <v>0</v>
      </c>
      <c r="H94" s="173"/>
      <c r="I94" s="172"/>
      <c r="J94" s="172"/>
      <c r="K94" s="172"/>
      <c r="L94" s="172"/>
      <c r="M94" s="176">
        <f>+SUM(M61:M93)</f>
        <v>0</v>
      </c>
      <c r="O94" s="61" t="s">
        <v>180</v>
      </c>
    </row>
    <row r="95" spans="1:15" ht="20.100000000000001" customHeight="1" x14ac:dyDescent="0.3">
      <c r="C95" s="172"/>
      <c r="D95" s="172"/>
      <c r="E95" s="172"/>
      <c r="F95" s="173"/>
      <c r="G95" s="172"/>
      <c r="H95" s="173"/>
      <c r="I95" s="172"/>
      <c r="J95" s="172"/>
      <c r="K95" s="172"/>
      <c r="L95" s="172"/>
      <c r="M95" s="172"/>
      <c r="O95" s="174"/>
    </row>
    <row r="96" spans="1:15" ht="20.100000000000001" customHeight="1" x14ac:dyDescent="0.3">
      <c r="A96" s="82" t="s">
        <v>181</v>
      </c>
      <c r="C96" s="172"/>
      <c r="D96" s="172"/>
      <c r="E96" s="172"/>
      <c r="F96" s="173"/>
      <c r="G96" s="172"/>
      <c r="H96" s="173"/>
      <c r="I96" s="172"/>
      <c r="J96" s="172"/>
      <c r="K96" s="172"/>
      <c r="L96" s="172"/>
      <c r="M96" s="172"/>
      <c r="O96" s="174"/>
    </row>
    <row r="97" spans="1:15" ht="20.100000000000001" customHeight="1" x14ac:dyDescent="0.3">
      <c r="A97" s="61" t="s">
        <v>418</v>
      </c>
      <c r="C97" s="171"/>
      <c r="D97" s="172"/>
      <c r="E97" s="171"/>
      <c r="F97" s="173"/>
      <c r="G97" s="171"/>
      <c r="H97" s="173"/>
      <c r="I97" s="172"/>
      <c r="J97" s="172"/>
      <c r="K97" s="172"/>
      <c r="L97" s="172"/>
      <c r="M97" s="171">
        <f>+C97-E97+G97</f>
        <v>0</v>
      </c>
      <c r="O97" s="167" t="s">
        <v>419</v>
      </c>
    </row>
    <row r="98" spans="1:15" ht="20.100000000000001" customHeight="1" x14ac:dyDescent="0.3">
      <c r="A98" s="61" t="s">
        <v>420</v>
      </c>
      <c r="C98" s="171"/>
      <c r="D98" s="172"/>
      <c r="E98" s="171"/>
      <c r="F98" s="173"/>
      <c r="G98" s="171"/>
      <c r="H98" s="173"/>
      <c r="I98" s="172"/>
      <c r="J98" s="172"/>
      <c r="K98" s="172"/>
      <c r="L98" s="172"/>
      <c r="M98" s="171">
        <f>+C98-E98+G98</f>
        <v>0</v>
      </c>
      <c r="O98" s="167" t="s">
        <v>421</v>
      </c>
    </row>
    <row r="99" spans="1:15" ht="20.100000000000001" customHeight="1" x14ac:dyDescent="0.3">
      <c r="A99" s="58" t="s">
        <v>422</v>
      </c>
      <c r="C99" s="175"/>
      <c r="D99" s="172"/>
      <c r="E99" s="194"/>
      <c r="F99" s="173"/>
      <c r="G99" s="194">
        <f>Reconciliations!D8</f>
        <v>168383.63505680001</v>
      </c>
      <c r="H99" s="173" t="s">
        <v>125</v>
      </c>
      <c r="I99" s="172"/>
      <c r="J99" s="172"/>
      <c r="K99" s="172"/>
      <c r="L99" s="172"/>
      <c r="M99" s="175">
        <f>+C99-E99-E100+G99+G100</f>
        <v>138152.48051515999</v>
      </c>
      <c r="O99" s="184" t="s">
        <v>159</v>
      </c>
    </row>
    <row r="100" spans="1:15" ht="20.100000000000001" customHeight="1" x14ac:dyDescent="0.3">
      <c r="C100" s="172"/>
      <c r="D100" s="172"/>
      <c r="E100" s="194">
        <f>Reconciliations!C19</f>
        <v>29245.834541640012</v>
      </c>
      <c r="F100" s="173" t="s">
        <v>133</v>
      </c>
      <c r="G100" s="194">
        <f>Reconciliations!D19</f>
        <v>-985.32</v>
      </c>
      <c r="H100" s="173" t="s">
        <v>133</v>
      </c>
      <c r="I100" s="172"/>
      <c r="J100" s="172"/>
      <c r="K100" s="172"/>
      <c r="L100" s="172"/>
      <c r="M100" s="172"/>
    </row>
    <row r="101" spans="1:15" ht="20.100000000000001" customHeight="1" x14ac:dyDescent="0.3">
      <c r="A101" s="61" t="s">
        <v>423</v>
      </c>
      <c r="C101" s="171"/>
      <c r="D101" s="172"/>
      <c r="E101" s="171"/>
      <c r="F101" s="173"/>
      <c r="G101" s="171"/>
      <c r="H101" s="173"/>
      <c r="I101" s="172"/>
      <c r="J101" s="172"/>
      <c r="K101" s="172"/>
      <c r="L101" s="172"/>
      <c r="M101" s="171">
        <f>+C101-E101+G101</f>
        <v>0</v>
      </c>
      <c r="O101" s="167" t="s">
        <v>182</v>
      </c>
    </row>
    <row r="102" spans="1:15" ht="20.100000000000001" customHeight="1" x14ac:dyDescent="0.3">
      <c r="C102" s="172"/>
      <c r="D102" s="172"/>
      <c r="E102" s="172"/>
      <c r="F102" s="173"/>
      <c r="G102" s="172"/>
      <c r="H102" s="173"/>
      <c r="I102" s="172"/>
      <c r="J102" s="172"/>
      <c r="K102" s="172"/>
      <c r="L102" s="172"/>
      <c r="M102" s="172"/>
      <c r="O102" s="174"/>
    </row>
    <row r="103" spans="1:15" ht="20.100000000000001" customHeight="1" x14ac:dyDescent="0.3">
      <c r="A103" s="61" t="s">
        <v>183</v>
      </c>
      <c r="C103" s="176">
        <f>SUM(C97:C102)</f>
        <v>0</v>
      </c>
      <c r="D103" s="172"/>
      <c r="E103" s="176">
        <f>SUM(E97:E102)</f>
        <v>29245.834541640012</v>
      </c>
      <c r="F103" s="173"/>
      <c r="G103" s="176">
        <f>SUM(G97:G102)</f>
        <v>167398.3150568</v>
      </c>
      <c r="H103" s="173"/>
      <c r="I103" s="172"/>
      <c r="J103" s="172"/>
      <c r="K103" s="172"/>
      <c r="L103" s="172"/>
      <c r="M103" s="176">
        <f>SUM(M97:M102)</f>
        <v>138152.48051515999</v>
      </c>
      <c r="O103" s="167" t="s">
        <v>183</v>
      </c>
    </row>
    <row r="104" spans="1:15" ht="20.100000000000001" customHeight="1" x14ac:dyDescent="0.3">
      <c r="C104" s="172"/>
      <c r="D104" s="172"/>
      <c r="E104" s="172"/>
      <c r="F104" s="173"/>
      <c r="G104" s="172"/>
      <c r="H104" s="173"/>
      <c r="I104" s="172"/>
      <c r="J104" s="172"/>
      <c r="K104" s="172"/>
      <c r="L104" s="172"/>
      <c r="M104" s="172"/>
      <c r="O104" s="174"/>
    </row>
    <row r="105" spans="1:15" ht="18" customHeight="1" x14ac:dyDescent="0.3">
      <c r="A105" s="61" t="s">
        <v>184</v>
      </c>
      <c r="C105" s="172"/>
      <c r="D105" s="172"/>
      <c r="E105" s="172"/>
      <c r="F105" s="173"/>
      <c r="G105" s="172"/>
      <c r="H105" s="173"/>
      <c r="I105" s="172"/>
      <c r="J105" s="172"/>
      <c r="K105" s="172"/>
      <c r="L105" s="172"/>
      <c r="M105" s="172"/>
      <c r="O105" s="174"/>
    </row>
    <row r="106" spans="1:15" ht="18" customHeight="1" x14ac:dyDescent="0.3">
      <c r="A106" s="61" t="s">
        <v>424</v>
      </c>
      <c r="C106" s="171"/>
      <c r="D106" s="172"/>
      <c r="E106" s="171"/>
      <c r="F106" s="173"/>
      <c r="G106" s="171"/>
      <c r="H106" s="173"/>
      <c r="I106" s="172"/>
      <c r="J106" s="172"/>
      <c r="K106" s="172"/>
      <c r="L106" s="172"/>
      <c r="M106" s="171">
        <f>+C106-E106+G106</f>
        <v>0</v>
      </c>
      <c r="O106" s="174"/>
    </row>
    <row r="107" spans="1:15" ht="18" customHeight="1" x14ac:dyDescent="0.3">
      <c r="A107" s="61" t="s">
        <v>425</v>
      </c>
      <c r="C107" s="171"/>
      <c r="D107" s="172"/>
      <c r="E107" s="171"/>
      <c r="F107" s="173"/>
      <c r="G107" s="171"/>
      <c r="H107" s="173"/>
      <c r="I107" s="172"/>
      <c r="J107" s="172"/>
      <c r="K107" s="172"/>
      <c r="L107" s="172"/>
      <c r="M107" s="171">
        <f>+C107-E107+G107</f>
        <v>0</v>
      </c>
      <c r="O107" s="174"/>
    </row>
    <row r="108" spans="1:15" ht="18" customHeight="1" x14ac:dyDescent="0.3">
      <c r="A108" s="61" t="s">
        <v>426</v>
      </c>
      <c r="C108" s="171"/>
      <c r="D108" s="172"/>
      <c r="E108" s="171"/>
      <c r="F108" s="173"/>
      <c r="G108" s="171"/>
      <c r="H108" s="173"/>
      <c r="I108" s="172"/>
      <c r="J108" s="172"/>
      <c r="K108" s="172"/>
      <c r="L108" s="172"/>
      <c r="M108" s="171">
        <f>+C108-E108+G108</f>
        <v>0</v>
      </c>
      <c r="N108" s="88"/>
      <c r="O108" s="174"/>
    </row>
    <row r="109" spans="1:15" ht="18" customHeight="1" x14ac:dyDescent="0.3">
      <c r="A109" s="61" t="s">
        <v>427</v>
      </c>
      <c r="C109" s="171"/>
      <c r="D109" s="172"/>
      <c r="E109" s="171"/>
      <c r="F109" s="173"/>
      <c r="G109" s="171"/>
      <c r="H109" s="173"/>
      <c r="I109" s="172"/>
      <c r="J109" s="172"/>
      <c r="K109" s="172"/>
      <c r="L109" s="172"/>
      <c r="M109" s="171">
        <f>+C109-E109+G109</f>
        <v>0</v>
      </c>
      <c r="O109" s="174"/>
    </row>
    <row r="110" spans="1:15" ht="18" customHeight="1" x14ac:dyDescent="0.3">
      <c r="A110" s="61" t="s">
        <v>428</v>
      </c>
      <c r="C110" s="171"/>
      <c r="D110" s="172"/>
      <c r="E110" s="171"/>
      <c r="F110" s="173"/>
      <c r="G110" s="171"/>
      <c r="H110" s="173"/>
      <c r="I110" s="172"/>
      <c r="J110" s="172"/>
      <c r="K110" s="172"/>
      <c r="L110" s="172"/>
      <c r="M110" s="171">
        <f>+C110-E110+G110</f>
        <v>0</v>
      </c>
      <c r="O110" s="174"/>
    </row>
    <row r="111" spans="1:15" ht="14.25" customHeight="1" x14ac:dyDescent="0.3">
      <c r="C111" s="172"/>
      <c r="D111" s="172"/>
      <c r="E111" s="172"/>
      <c r="F111" s="173"/>
      <c r="G111" s="172"/>
      <c r="H111" s="173"/>
      <c r="I111" s="172"/>
      <c r="J111" s="172"/>
      <c r="K111" s="172"/>
      <c r="L111" s="172"/>
      <c r="M111" s="172"/>
      <c r="N111" s="88"/>
      <c r="O111" s="174"/>
    </row>
    <row r="112" spans="1:15" ht="14.25" customHeight="1" x14ac:dyDescent="0.3">
      <c r="A112" s="92" t="s">
        <v>429</v>
      </c>
      <c r="C112" s="172"/>
      <c r="D112" s="172"/>
      <c r="E112" s="172"/>
      <c r="F112" s="173"/>
      <c r="G112" s="172"/>
      <c r="H112" s="173"/>
      <c r="I112" s="172"/>
      <c r="J112" s="172"/>
      <c r="K112" s="172"/>
      <c r="L112" s="172"/>
      <c r="M112" s="172"/>
      <c r="N112" s="88"/>
      <c r="O112" s="174"/>
    </row>
    <row r="113" spans="1:15" ht="14.25" customHeight="1" x14ac:dyDescent="0.3">
      <c r="A113" s="92" t="s">
        <v>430</v>
      </c>
      <c r="C113" s="171"/>
      <c r="D113" s="172"/>
      <c r="E113" s="171"/>
      <c r="F113" s="173"/>
      <c r="G113" s="171"/>
      <c r="H113" s="173"/>
      <c r="I113" s="172"/>
      <c r="J113" s="172"/>
      <c r="K113" s="172"/>
      <c r="L113" s="172"/>
      <c r="M113" s="171">
        <f>+C113-E113-E114-E115+G113+G114+G115</f>
        <v>0</v>
      </c>
      <c r="N113" s="88"/>
      <c r="O113" s="180" t="s">
        <v>185</v>
      </c>
    </row>
    <row r="114" spans="1:15" ht="14.25" customHeight="1" x14ac:dyDescent="0.3">
      <c r="C114" s="172"/>
      <c r="D114" s="172"/>
      <c r="E114" s="175"/>
      <c r="F114" s="173"/>
      <c r="G114" s="175"/>
      <c r="H114" s="173"/>
      <c r="I114" s="172"/>
      <c r="J114" s="172"/>
      <c r="K114" s="172"/>
      <c r="L114" s="172"/>
      <c r="M114" s="172"/>
      <c r="N114" s="88"/>
      <c r="O114" s="174"/>
    </row>
    <row r="115" spans="1:15" ht="14.25" customHeight="1" x14ac:dyDescent="0.3">
      <c r="C115" s="172"/>
      <c r="D115" s="172"/>
      <c r="E115" s="175"/>
      <c r="F115" s="173"/>
      <c r="G115" s="171"/>
      <c r="H115" s="173"/>
      <c r="I115" s="172"/>
      <c r="J115" s="172"/>
      <c r="K115" s="172"/>
      <c r="L115" s="172"/>
      <c r="M115" s="172"/>
      <c r="N115" s="88"/>
      <c r="O115" s="174"/>
    </row>
    <row r="116" spans="1:15" ht="14.25" customHeight="1" x14ac:dyDescent="0.3">
      <c r="A116" s="61" t="s">
        <v>431</v>
      </c>
      <c r="C116" s="172"/>
      <c r="D116" s="172"/>
      <c r="E116" s="172"/>
      <c r="F116" s="173"/>
      <c r="G116" s="172"/>
      <c r="H116" s="173"/>
      <c r="I116" s="172"/>
      <c r="J116" s="172"/>
      <c r="K116" s="172"/>
      <c r="L116" s="172"/>
      <c r="M116" s="172"/>
      <c r="N116" s="88"/>
      <c r="O116" s="174"/>
    </row>
    <row r="117" spans="1:15" ht="14.25" customHeight="1" x14ac:dyDescent="0.3">
      <c r="A117" s="61" t="s">
        <v>432</v>
      </c>
      <c r="C117" s="171"/>
      <c r="D117" s="172"/>
      <c r="E117" s="171"/>
      <c r="F117" s="173"/>
      <c r="G117" s="171"/>
      <c r="H117" s="173"/>
      <c r="I117" s="172"/>
      <c r="J117" s="172"/>
      <c r="K117" s="172"/>
      <c r="L117" s="172"/>
      <c r="M117" s="171">
        <f>+C117-E117+G117</f>
        <v>0</v>
      </c>
      <c r="N117" s="88"/>
      <c r="O117" s="180" t="s">
        <v>433</v>
      </c>
    </row>
    <row r="118" spans="1:15" ht="14.25" customHeight="1" x14ac:dyDescent="0.3">
      <c r="A118" s="61" t="s">
        <v>434</v>
      </c>
      <c r="C118" s="171"/>
      <c r="D118" s="172"/>
      <c r="E118" s="171"/>
      <c r="F118" s="173"/>
      <c r="G118" s="171"/>
      <c r="H118" s="173"/>
      <c r="I118" s="172"/>
      <c r="J118" s="172"/>
      <c r="K118" s="172"/>
      <c r="L118" s="172"/>
      <c r="M118" s="171">
        <f>+C118-E118+G118</f>
        <v>0</v>
      </c>
      <c r="N118" s="88"/>
      <c r="O118" s="180" t="s">
        <v>435</v>
      </c>
    </row>
    <row r="119" spans="1:15" ht="14.25" customHeight="1" x14ac:dyDescent="0.3">
      <c r="A119" s="61" t="s">
        <v>436</v>
      </c>
      <c r="C119" s="171"/>
      <c r="D119" s="172"/>
      <c r="E119" s="171"/>
      <c r="F119" s="173"/>
      <c r="G119" s="171"/>
      <c r="H119" s="173"/>
      <c r="I119" s="172"/>
      <c r="J119" s="172"/>
      <c r="K119" s="172"/>
      <c r="L119" s="172"/>
      <c r="M119" s="171">
        <f>+C119-E119+G119</f>
        <v>0</v>
      </c>
      <c r="N119" s="88"/>
      <c r="O119" s="180" t="s">
        <v>437</v>
      </c>
    </row>
    <row r="120" spans="1:15" ht="14.25" customHeight="1" x14ac:dyDescent="0.3">
      <c r="A120" s="58" t="s">
        <v>438</v>
      </c>
      <c r="C120" s="175"/>
      <c r="D120" s="172"/>
      <c r="E120" s="194">
        <f>Reconciliations!C11</f>
        <v>0</v>
      </c>
      <c r="F120" s="173" t="s">
        <v>125</v>
      </c>
      <c r="G120" s="194">
        <f>Reconciliations!D9</f>
        <v>67810.908684599985</v>
      </c>
      <c r="H120" s="173" t="s">
        <v>125</v>
      </c>
      <c r="I120" s="172"/>
      <c r="J120" s="172"/>
      <c r="K120" s="172"/>
      <c r="L120" s="172"/>
      <c r="M120" s="175">
        <f>+C120-E120-E121-E122+G120+G121+G122</f>
        <v>117492.52247989453</v>
      </c>
      <c r="N120" s="88"/>
      <c r="O120" s="186" t="s">
        <v>780</v>
      </c>
    </row>
    <row r="121" spans="1:15" ht="14.25" customHeight="1" x14ac:dyDescent="0.3">
      <c r="C121" s="172"/>
      <c r="D121" s="172"/>
      <c r="E121" s="194">
        <f>Reconciliations!C20</f>
        <v>0</v>
      </c>
      <c r="F121" s="173" t="s">
        <v>133</v>
      </c>
      <c r="G121" s="194">
        <f>Reconciliations!D20</f>
        <v>49136.873795294538</v>
      </c>
      <c r="H121" s="173" t="s">
        <v>133</v>
      </c>
      <c r="I121" s="172"/>
      <c r="J121" s="172"/>
      <c r="K121" s="172"/>
      <c r="L121" s="172"/>
      <c r="M121" s="172"/>
      <c r="N121" s="88"/>
      <c r="O121" s="180"/>
    </row>
    <row r="122" spans="1:15" ht="14.25" customHeight="1" x14ac:dyDescent="0.3">
      <c r="C122" s="172"/>
      <c r="D122" s="172"/>
      <c r="E122" s="194">
        <f>Reconciliations!C35</f>
        <v>27238.5</v>
      </c>
      <c r="F122" s="173" t="s">
        <v>138</v>
      </c>
      <c r="G122" s="194">
        <f>Reconciliations!D50</f>
        <v>27783.24</v>
      </c>
      <c r="H122" s="173" t="s">
        <v>140</v>
      </c>
      <c r="I122" s="172"/>
      <c r="J122" s="172"/>
      <c r="K122" s="172"/>
      <c r="L122" s="172"/>
      <c r="M122" s="172"/>
      <c r="N122" s="88"/>
      <c r="O122" s="180"/>
    </row>
    <row r="123" spans="1:15" ht="14.25" customHeight="1" x14ac:dyDescent="0.3">
      <c r="A123" s="61" t="s">
        <v>439</v>
      </c>
      <c r="C123" s="171"/>
      <c r="D123" s="172"/>
      <c r="E123" s="171"/>
      <c r="F123" s="173"/>
      <c r="G123" s="171"/>
      <c r="H123" s="173"/>
      <c r="I123" s="172"/>
      <c r="J123" s="172"/>
      <c r="K123" s="172"/>
      <c r="L123" s="172"/>
      <c r="M123" s="171">
        <f>+C123-E123+G123</f>
        <v>0</v>
      </c>
      <c r="N123" s="88"/>
      <c r="O123" s="180" t="s">
        <v>440</v>
      </c>
    </row>
    <row r="124" spans="1:15" ht="14.25" customHeight="1" x14ac:dyDescent="0.3">
      <c r="A124" s="61" t="s">
        <v>441</v>
      </c>
      <c r="C124" s="171"/>
      <c r="D124" s="172"/>
      <c r="E124" s="171"/>
      <c r="F124" s="173"/>
      <c r="G124" s="171"/>
      <c r="H124" s="173"/>
      <c r="I124" s="172"/>
      <c r="J124" s="172"/>
      <c r="K124" s="172"/>
      <c r="L124" s="172"/>
      <c r="M124" s="175">
        <f>+C124-E124+G124</f>
        <v>0</v>
      </c>
      <c r="N124" s="88"/>
      <c r="O124" s="180" t="s">
        <v>442</v>
      </c>
    </row>
    <row r="125" spans="1:15" ht="14.25" customHeight="1" x14ac:dyDescent="0.3">
      <c r="A125" s="61" t="s">
        <v>443</v>
      </c>
      <c r="C125" s="175"/>
      <c r="D125" s="172"/>
      <c r="E125" s="171"/>
      <c r="F125" s="173"/>
      <c r="G125" s="171"/>
      <c r="H125" s="173"/>
      <c r="I125" s="172"/>
      <c r="J125" s="172"/>
      <c r="K125" s="172"/>
      <c r="L125" s="172"/>
      <c r="M125" s="175">
        <f>+C125-E125-E126-E127+G125+G126+G127</f>
        <v>0</v>
      </c>
      <c r="N125" s="88"/>
      <c r="O125" s="180" t="s">
        <v>444</v>
      </c>
    </row>
    <row r="126" spans="1:15" ht="14.25" customHeight="1" x14ac:dyDescent="0.3">
      <c r="C126" s="172"/>
      <c r="D126" s="172"/>
      <c r="E126" s="171"/>
      <c r="F126" s="173"/>
      <c r="G126" s="171"/>
      <c r="H126" s="173"/>
      <c r="I126" s="172"/>
      <c r="J126" s="172"/>
      <c r="K126" s="172"/>
      <c r="L126" s="172"/>
      <c r="M126" s="172"/>
      <c r="N126" s="88"/>
      <c r="O126" s="174"/>
    </row>
    <row r="127" spans="1:15" ht="15" customHeight="1" x14ac:dyDescent="0.3">
      <c r="C127" s="172"/>
      <c r="D127" s="172"/>
      <c r="E127" s="171"/>
      <c r="F127" s="173"/>
      <c r="G127" s="171"/>
      <c r="H127" s="173"/>
      <c r="I127" s="172"/>
      <c r="J127" s="172"/>
      <c r="K127" s="172"/>
      <c r="L127" s="172"/>
      <c r="N127" s="88"/>
      <c r="O127" s="180"/>
    </row>
    <row r="128" spans="1:15" ht="14.25" customHeight="1" thickBot="1" x14ac:dyDescent="0.35">
      <c r="A128" s="92" t="s">
        <v>186</v>
      </c>
      <c r="C128" s="171">
        <f>+SUM(C106:C127)</f>
        <v>0</v>
      </c>
      <c r="D128" s="172"/>
      <c r="E128" s="171">
        <f>+SUM(E106:E127)</f>
        <v>27238.5</v>
      </c>
      <c r="F128" s="173"/>
      <c r="G128" s="171">
        <f>+SUM(G106:G127)</f>
        <v>144731.02247989451</v>
      </c>
      <c r="H128" s="173"/>
      <c r="I128" s="172"/>
      <c r="J128" s="172"/>
      <c r="K128" s="172"/>
      <c r="L128" s="172"/>
      <c r="M128" s="177">
        <f>+SUM(M106:M127)</f>
        <v>117492.52247989453</v>
      </c>
      <c r="O128" s="180" t="s">
        <v>187</v>
      </c>
    </row>
    <row r="129" spans="1:15" ht="14.25" customHeight="1" thickTop="1" x14ac:dyDescent="0.3">
      <c r="C129" s="172"/>
      <c r="D129" s="172"/>
      <c r="E129" s="172"/>
      <c r="F129" s="173"/>
      <c r="G129" s="172"/>
      <c r="H129" s="173"/>
      <c r="I129" s="172"/>
      <c r="J129" s="172"/>
      <c r="K129" s="172"/>
      <c r="L129" s="172"/>
      <c r="M129" s="172"/>
      <c r="O129" s="174"/>
    </row>
    <row r="130" spans="1:15" ht="14.25" customHeight="1" x14ac:dyDescent="0.3">
      <c r="A130" s="181" t="s">
        <v>188</v>
      </c>
      <c r="C130" s="172"/>
      <c r="D130" s="172"/>
      <c r="E130" s="172"/>
      <c r="F130" s="173"/>
      <c r="G130" s="172"/>
      <c r="H130" s="173"/>
      <c r="I130" s="172"/>
      <c r="J130" s="172"/>
      <c r="K130" s="172"/>
      <c r="L130" s="172"/>
      <c r="M130" s="172"/>
      <c r="O130" s="174"/>
    </row>
    <row r="131" spans="1:15" ht="14.25" customHeight="1" thickBot="1" x14ac:dyDescent="0.35">
      <c r="A131" s="181" t="s">
        <v>189</v>
      </c>
      <c r="C131" s="182">
        <f>+C128+C103+C94</f>
        <v>0</v>
      </c>
      <c r="D131" s="183"/>
      <c r="E131" s="182">
        <f>+E128+E103+E94</f>
        <v>56484.334541640012</v>
      </c>
      <c r="F131" s="173"/>
      <c r="G131" s="182">
        <f>+G128+G103+G94</f>
        <v>312129.33753669448</v>
      </c>
      <c r="H131" s="173"/>
      <c r="I131" s="183"/>
      <c r="J131" s="183"/>
      <c r="K131" s="183"/>
      <c r="L131" s="183"/>
      <c r="M131" s="182">
        <f>+M128+M103+M94</f>
        <v>255645.00299505453</v>
      </c>
      <c r="O131" s="180"/>
    </row>
    <row r="132" spans="1:15" ht="14.25" customHeight="1" thickTop="1" x14ac:dyDescent="0.3">
      <c r="B132" s="88"/>
      <c r="C132" s="172"/>
      <c r="D132" s="172"/>
      <c r="E132" s="172"/>
      <c r="F132" s="173"/>
      <c r="G132" s="172"/>
      <c r="H132" s="173"/>
      <c r="I132" s="172"/>
      <c r="J132" s="172"/>
      <c r="K132" s="172"/>
      <c r="L132" s="172"/>
      <c r="M132" s="172"/>
      <c r="O132" s="174"/>
    </row>
    <row r="133" spans="1:15" ht="18" customHeight="1" x14ac:dyDescent="0.3"/>
    <row r="134" spans="1:15" ht="18" customHeight="1" x14ac:dyDescent="0.3"/>
    <row r="135" spans="1:15" ht="18" customHeight="1" x14ac:dyDescent="0.3"/>
    <row r="136" spans="1:15" ht="18" customHeight="1" x14ac:dyDescent="0.3"/>
    <row r="137" spans="1:15" ht="18" customHeight="1" x14ac:dyDescent="0.3"/>
    <row r="138" spans="1:15" ht="18" customHeight="1" x14ac:dyDescent="0.3"/>
    <row r="139" spans="1:15" ht="18" customHeight="1" x14ac:dyDescent="0.3"/>
    <row r="140" spans="1:15" ht="18" customHeight="1" x14ac:dyDescent="0.3"/>
    <row r="141" spans="1:15" ht="18" customHeight="1" x14ac:dyDescent="0.3"/>
    <row r="142" spans="1:15" ht="18" customHeight="1" x14ac:dyDescent="0.3"/>
    <row r="143" spans="1:15" ht="18" customHeight="1" x14ac:dyDescent="0.3"/>
    <row r="144" spans="1:15"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sheetData>
  <mergeCells count="3">
    <mergeCell ref="A1:O1"/>
    <mergeCell ref="A2:O2"/>
    <mergeCell ref="A3:O3"/>
  </mergeCells>
  <pageMargins left="0.7" right="0.7" top="0.75" bottom="0.75" header="0.3" footer="0.3"/>
  <pageSetup scale="51" orientation="portrait" r:id="rId1"/>
  <colBreaks count="1" manualBreakCount="1">
    <brk id="15"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62"/>
  <sheetViews>
    <sheetView topLeftCell="A320" zoomScaleNormal="100" workbookViewId="0">
      <selection activeCell="G330" sqref="G330"/>
    </sheetView>
  </sheetViews>
  <sheetFormatPr defaultRowHeight="14.4" x14ac:dyDescent="0.3"/>
  <cols>
    <col min="1" max="1" width="38.109375" style="61" customWidth="1"/>
    <col min="2" max="2" width="1.44140625" style="61" customWidth="1"/>
    <col min="3" max="3" width="22.5546875" style="61" customWidth="1"/>
    <col min="4" max="4" width="1.44140625" style="61" customWidth="1"/>
    <col min="5" max="5" width="23.33203125" style="61" customWidth="1"/>
    <col min="6" max="6" width="4.44140625" style="61" customWidth="1"/>
    <col min="7" max="7" width="23" style="61" customWidth="1"/>
    <col min="8" max="8" width="4.109375" style="61" customWidth="1"/>
    <col min="9" max="9" width="17.88671875" style="61" hidden="1" customWidth="1"/>
    <col min="10" max="10" width="1.44140625" style="61" hidden="1" customWidth="1"/>
    <col min="11" max="11" width="17.88671875" style="61" hidden="1" customWidth="1"/>
    <col min="12" max="12" width="1.44140625" style="61" hidden="1" customWidth="1"/>
    <col min="13" max="13" width="24.88671875" style="61" customWidth="1"/>
    <col min="14" max="14" width="37" style="167" customWidth="1"/>
    <col min="15" max="256" width="9.109375" style="61"/>
    <col min="257" max="257" width="38.109375" style="61" customWidth="1"/>
    <col min="258" max="258" width="1.44140625" style="61" customWidth="1"/>
    <col min="259" max="259" width="22.5546875" style="61" customWidth="1"/>
    <col min="260" max="260" width="1.44140625" style="61" customWidth="1"/>
    <col min="261" max="261" width="23.33203125" style="61" customWidth="1"/>
    <col min="262" max="262" width="4.44140625" style="61" customWidth="1"/>
    <col min="263" max="263" width="23" style="61" customWidth="1"/>
    <col min="264" max="264" width="4.109375" style="61" customWidth="1"/>
    <col min="265" max="268" width="0" style="61" hidden="1" customWidth="1"/>
    <col min="269" max="269" width="24.88671875" style="61" customWidth="1"/>
    <col min="270" max="270" width="37" style="61" customWidth="1"/>
    <col min="271" max="512" width="9.109375" style="61"/>
    <col min="513" max="513" width="38.109375" style="61" customWidth="1"/>
    <col min="514" max="514" width="1.44140625" style="61" customWidth="1"/>
    <col min="515" max="515" width="22.5546875" style="61" customWidth="1"/>
    <col min="516" max="516" width="1.44140625" style="61" customWidth="1"/>
    <col min="517" max="517" width="23.33203125" style="61" customWidth="1"/>
    <col min="518" max="518" width="4.44140625" style="61" customWidth="1"/>
    <col min="519" max="519" width="23" style="61" customWidth="1"/>
    <col min="520" max="520" width="4.109375" style="61" customWidth="1"/>
    <col min="521" max="524" width="0" style="61" hidden="1" customWidth="1"/>
    <col min="525" max="525" width="24.88671875" style="61" customWidth="1"/>
    <col min="526" max="526" width="37" style="61" customWidth="1"/>
    <col min="527" max="768" width="9.109375" style="61"/>
    <col min="769" max="769" width="38.109375" style="61" customWidth="1"/>
    <col min="770" max="770" width="1.44140625" style="61" customWidth="1"/>
    <col min="771" max="771" width="22.5546875" style="61" customWidth="1"/>
    <col min="772" max="772" width="1.44140625" style="61" customWidth="1"/>
    <col min="773" max="773" width="23.33203125" style="61" customWidth="1"/>
    <col min="774" max="774" width="4.44140625" style="61" customWidth="1"/>
    <col min="775" max="775" width="23" style="61" customWidth="1"/>
    <col min="776" max="776" width="4.109375" style="61" customWidth="1"/>
    <col min="777" max="780" width="0" style="61" hidden="1" customWidth="1"/>
    <col min="781" max="781" width="24.88671875" style="61" customWidth="1"/>
    <col min="782" max="782" width="37" style="61" customWidth="1"/>
    <col min="783" max="1024" width="9.109375" style="61"/>
    <col min="1025" max="1025" width="38.109375" style="61" customWidth="1"/>
    <col min="1026" max="1026" width="1.44140625" style="61" customWidth="1"/>
    <col min="1027" max="1027" width="22.5546875" style="61" customWidth="1"/>
    <col min="1028" max="1028" width="1.44140625" style="61" customWidth="1"/>
    <col min="1029" max="1029" width="23.33203125" style="61" customWidth="1"/>
    <col min="1030" max="1030" width="4.44140625" style="61" customWidth="1"/>
    <col min="1031" max="1031" width="23" style="61" customWidth="1"/>
    <col min="1032" max="1032" width="4.109375" style="61" customWidth="1"/>
    <col min="1033" max="1036" width="0" style="61" hidden="1" customWidth="1"/>
    <col min="1037" max="1037" width="24.88671875" style="61" customWidth="1"/>
    <col min="1038" max="1038" width="37" style="61" customWidth="1"/>
    <col min="1039" max="1280" width="9.109375" style="61"/>
    <col min="1281" max="1281" width="38.109375" style="61" customWidth="1"/>
    <col min="1282" max="1282" width="1.44140625" style="61" customWidth="1"/>
    <col min="1283" max="1283" width="22.5546875" style="61" customWidth="1"/>
    <col min="1284" max="1284" width="1.44140625" style="61" customWidth="1"/>
    <col min="1285" max="1285" width="23.33203125" style="61" customWidth="1"/>
    <col min="1286" max="1286" width="4.44140625" style="61" customWidth="1"/>
    <col min="1287" max="1287" width="23" style="61" customWidth="1"/>
    <col min="1288" max="1288" width="4.109375" style="61" customWidth="1"/>
    <col min="1289" max="1292" width="0" style="61" hidden="1" customWidth="1"/>
    <col min="1293" max="1293" width="24.88671875" style="61" customWidth="1"/>
    <col min="1294" max="1294" width="37" style="61" customWidth="1"/>
    <col min="1295" max="1536" width="9.109375" style="61"/>
    <col min="1537" max="1537" width="38.109375" style="61" customWidth="1"/>
    <col min="1538" max="1538" width="1.44140625" style="61" customWidth="1"/>
    <col min="1539" max="1539" width="22.5546875" style="61" customWidth="1"/>
    <col min="1540" max="1540" width="1.44140625" style="61" customWidth="1"/>
    <col min="1541" max="1541" width="23.33203125" style="61" customWidth="1"/>
    <col min="1542" max="1542" width="4.44140625" style="61" customWidth="1"/>
    <col min="1543" max="1543" width="23" style="61" customWidth="1"/>
    <col min="1544" max="1544" width="4.109375" style="61" customWidth="1"/>
    <col min="1545" max="1548" width="0" style="61" hidden="1" customWidth="1"/>
    <col min="1549" max="1549" width="24.88671875" style="61" customWidth="1"/>
    <col min="1550" max="1550" width="37" style="61" customWidth="1"/>
    <col min="1551" max="1792" width="9.109375" style="61"/>
    <col min="1793" max="1793" width="38.109375" style="61" customWidth="1"/>
    <col min="1794" max="1794" width="1.44140625" style="61" customWidth="1"/>
    <col min="1795" max="1795" width="22.5546875" style="61" customWidth="1"/>
    <col min="1796" max="1796" width="1.44140625" style="61" customWidth="1"/>
    <col min="1797" max="1797" width="23.33203125" style="61" customWidth="1"/>
    <col min="1798" max="1798" width="4.44140625" style="61" customWidth="1"/>
    <col min="1799" max="1799" width="23" style="61" customWidth="1"/>
    <col min="1800" max="1800" width="4.109375" style="61" customWidth="1"/>
    <col min="1801" max="1804" width="0" style="61" hidden="1" customWidth="1"/>
    <col min="1805" max="1805" width="24.88671875" style="61" customWidth="1"/>
    <col min="1806" max="1806" width="37" style="61" customWidth="1"/>
    <col min="1807" max="2048" width="9.109375" style="61"/>
    <col min="2049" max="2049" width="38.109375" style="61" customWidth="1"/>
    <col min="2050" max="2050" width="1.44140625" style="61" customWidth="1"/>
    <col min="2051" max="2051" width="22.5546875" style="61" customWidth="1"/>
    <col min="2052" max="2052" width="1.44140625" style="61" customWidth="1"/>
    <col min="2053" max="2053" width="23.33203125" style="61" customWidth="1"/>
    <col min="2054" max="2054" width="4.44140625" style="61" customWidth="1"/>
    <col min="2055" max="2055" width="23" style="61" customWidth="1"/>
    <col min="2056" max="2056" width="4.109375" style="61" customWidth="1"/>
    <col min="2057" max="2060" width="0" style="61" hidden="1" customWidth="1"/>
    <col min="2061" max="2061" width="24.88671875" style="61" customWidth="1"/>
    <col min="2062" max="2062" width="37" style="61" customWidth="1"/>
    <col min="2063" max="2304" width="9.109375" style="61"/>
    <col min="2305" max="2305" width="38.109375" style="61" customWidth="1"/>
    <col min="2306" max="2306" width="1.44140625" style="61" customWidth="1"/>
    <col min="2307" max="2307" width="22.5546875" style="61" customWidth="1"/>
    <col min="2308" max="2308" width="1.44140625" style="61" customWidth="1"/>
    <col min="2309" max="2309" width="23.33203125" style="61" customWidth="1"/>
    <col min="2310" max="2310" width="4.44140625" style="61" customWidth="1"/>
    <col min="2311" max="2311" width="23" style="61" customWidth="1"/>
    <col min="2312" max="2312" width="4.109375" style="61" customWidth="1"/>
    <col min="2313" max="2316" width="0" style="61" hidden="1" customWidth="1"/>
    <col min="2317" max="2317" width="24.88671875" style="61" customWidth="1"/>
    <col min="2318" max="2318" width="37" style="61" customWidth="1"/>
    <col min="2319" max="2560" width="9.109375" style="61"/>
    <col min="2561" max="2561" width="38.109375" style="61" customWidth="1"/>
    <col min="2562" max="2562" width="1.44140625" style="61" customWidth="1"/>
    <col min="2563" max="2563" width="22.5546875" style="61" customWidth="1"/>
    <col min="2564" max="2564" width="1.44140625" style="61" customWidth="1"/>
    <col min="2565" max="2565" width="23.33203125" style="61" customWidth="1"/>
    <col min="2566" max="2566" width="4.44140625" style="61" customWidth="1"/>
    <col min="2567" max="2567" width="23" style="61" customWidth="1"/>
    <col min="2568" max="2568" width="4.109375" style="61" customWidth="1"/>
    <col min="2569" max="2572" width="0" style="61" hidden="1" customWidth="1"/>
    <col min="2573" max="2573" width="24.88671875" style="61" customWidth="1"/>
    <col min="2574" max="2574" width="37" style="61" customWidth="1"/>
    <col min="2575" max="2816" width="9.109375" style="61"/>
    <col min="2817" max="2817" width="38.109375" style="61" customWidth="1"/>
    <col min="2818" max="2818" width="1.44140625" style="61" customWidth="1"/>
    <col min="2819" max="2819" width="22.5546875" style="61" customWidth="1"/>
    <col min="2820" max="2820" width="1.44140625" style="61" customWidth="1"/>
    <col min="2821" max="2821" width="23.33203125" style="61" customWidth="1"/>
    <col min="2822" max="2822" width="4.44140625" style="61" customWidth="1"/>
    <col min="2823" max="2823" width="23" style="61" customWidth="1"/>
    <col min="2824" max="2824" width="4.109375" style="61" customWidth="1"/>
    <col min="2825" max="2828" width="0" style="61" hidden="1" customWidth="1"/>
    <col min="2829" max="2829" width="24.88671875" style="61" customWidth="1"/>
    <col min="2830" max="2830" width="37" style="61" customWidth="1"/>
    <col min="2831" max="3072" width="9.109375" style="61"/>
    <col min="3073" max="3073" width="38.109375" style="61" customWidth="1"/>
    <col min="3074" max="3074" width="1.44140625" style="61" customWidth="1"/>
    <col min="3075" max="3075" width="22.5546875" style="61" customWidth="1"/>
    <col min="3076" max="3076" width="1.44140625" style="61" customWidth="1"/>
    <col min="3077" max="3077" width="23.33203125" style="61" customWidth="1"/>
    <col min="3078" max="3078" width="4.44140625" style="61" customWidth="1"/>
    <col min="3079" max="3079" width="23" style="61" customWidth="1"/>
    <col min="3080" max="3080" width="4.109375" style="61" customWidth="1"/>
    <col min="3081" max="3084" width="0" style="61" hidden="1" customWidth="1"/>
    <col min="3085" max="3085" width="24.88671875" style="61" customWidth="1"/>
    <col min="3086" max="3086" width="37" style="61" customWidth="1"/>
    <col min="3087" max="3328" width="9.109375" style="61"/>
    <col min="3329" max="3329" width="38.109375" style="61" customWidth="1"/>
    <col min="3330" max="3330" width="1.44140625" style="61" customWidth="1"/>
    <col min="3331" max="3331" width="22.5546875" style="61" customWidth="1"/>
    <col min="3332" max="3332" width="1.44140625" style="61" customWidth="1"/>
    <col min="3333" max="3333" width="23.33203125" style="61" customWidth="1"/>
    <col min="3334" max="3334" width="4.44140625" style="61" customWidth="1"/>
    <col min="3335" max="3335" width="23" style="61" customWidth="1"/>
    <col min="3336" max="3336" width="4.109375" style="61" customWidth="1"/>
    <col min="3337" max="3340" width="0" style="61" hidden="1" customWidth="1"/>
    <col min="3341" max="3341" width="24.88671875" style="61" customWidth="1"/>
    <col min="3342" max="3342" width="37" style="61" customWidth="1"/>
    <col min="3343" max="3584" width="9.109375" style="61"/>
    <col min="3585" max="3585" width="38.109375" style="61" customWidth="1"/>
    <col min="3586" max="3586" width="1.44140625" style="61" customWidth="1"/>
    <col min="3587" max="3587" width="22.5546875" style="61" customWidth="1"/>
    <col min="3588" max="3588" width="1.44140625" style="61" customWidth="1"/>
    <col min="3589" max="3589" width="23.33203125" style="61" customWidth="1"/>
    <col min="3590" max="3590" width="4.44140625" style="61" customWidth="1"/>
    <col min="3591" max="3591" width="23" style="61" customWidth="1"/>
    <col min="3592" max="3592" width="4.109375" style="61" customWidth="1"/>
    <col min="3593" max="3596" width="0" style="61" hidden="1" customWidth="1"/>
    <col min="3597" max="3597" width="24.88671875" style="61" customWidth="1"/>
    <col min="3598" max="3598" width="37" style="61" customWidth="1"/>
    <col min="3599" max="3840" width="9.109375" style="61"/>
    <col min="3841" max="3841" width="38.109375" style="61" customWidth="1"/>
    <col min="3842" max="3842" width="1.44140625" style="61" customWidth="1"/>
    <col min="3843" max="3843" width="22.5546875" style="61" customWidth="1"/>
    <col min="3844" max="3844" width="1.44140625" style="61" customWidth="1"/>
    <col min="3845" max="3845" width="23.33203125" style="61" customWidth="1"/>
    <col min="3846" max="3846" width="4.44140625" style="61" customWidth="1"/>
    <col min="3847" max="3847" width="23" style="61" customWidth="1"/>
    <col min="3848" max="3848" width="4.109375" style="61" customWidth="1"/>
    <col min="3849" max="3852" width="0" style="61" hidden="1" customWidth="1"/>
    <col min="3853" max="3853" width="24.88671875" style="61" customWidth="1"/>
    <col min="3854" max="3854" width="37" style="61" customWidth="1"/>
    <col min="3855" max="4096" width="9.109375" style="61"/>
    <col min="4097" max="4097" width="38.109375" style="61" customWidth="1"/>
    <col min="4098" max="4098" width="1.44140625" style="61" customWidth="1"/>
    <col min="4099" max="4099" width="22.5546875" style="61" customWidth="1"/>
    <col min="4100" max="4100" width="1.44140625" style="61" customWidth="1"/>
    <col min="4101" max="4101" width="23.33203125" style="61" customWidth="1"/>
    <col min="4102" max="4102" width="4.44140625" style="61" customWidth="1"/>
    <col min="4103" max="4103" width="23" style="61" customWidth="1"/>
    <col min="4104" max="4104" width="4.109375" style="61" customWidth="1"/>
    <col min="4105" max="4108" width="0" style="61" hidden="1" customWidth="1"/>
    <col min="4109" max="4109" width="24.88671875" style="61" customWidth="1"/>
    <col min="4110" max="4110" width="37" style="61" customWidth="1"/>
    <col min="4111" max="4352" width="9.109375" style="61"/>
    <col min="4353" max="4353" width="38.109375" style="61" customWidth="1"/>
    <col min="4354" max="4354" width="1.44140625" style="61" customWidth="1"/>
    <col min="4355" max="4355" width="22.5546875" style="61" customWidth="1"/>
    <col min="4356" max="4356" width="1.44140625" style="61" customWidth="1"/>
    <col min="4357" max="4357" width="23.33203125" style="61" customWidth="1"/>
    <col min="4358" max="4358" width="4.44140625" style="61" customWidth="1"/>
    <col min="4359" max="4359" width="23" style="61" customWidth="1"/>
    <col min="4360" max="4360" width="4.109375" style="61" customWidth="1"/>
    <col min="4361" max="4364" width="0" style="61" hidden="1" customWidth="1"/>
    <col min="4365" max="4365" width="24.88671875" style="61" customWidth="1"/>
    <col min="4366" max="4366" width="37" style="61" customWidth="1"/>
    <col min="4367" max="4608" width="9.109375" style="61"/>
    <col min="4609" max="4609" width="38.109375" style="61" customWidth="1"/>
    <col min="4610" max="4610" width="1.44140625" style="61" customWidth="1"/>
    <col min="4611" max="4611" width="22.5546875" style="61" customWidth="1"/>
    <col min="4612" max="4612" width="1.44140625" style="61" customWidth="1"/>
    <col min="4613" max="4613" width="23.33203125" style="61" customWidth="1"/>
    <col min="4614" max="4614" width="4.44140625" style="61" customWidth="1"/>
    <col min="4615" max="4615" width="23" style="61" customWidth="1"/>
    <col min="4616" max="4616" width="4.109375" style="61" customWidth="1"/>
    <col min="4617" max="4620" width="0" style="61" hidden="1" customWidth="1"/>
    <col min="4621" max="4621" width="24.88671875" style="61" customWidth="1"/>
    <col min="4622" max="4622" width="37" style="61" customWidth="1"/>
    <col min="4623" max="4864" width="9.109375" style="61"/>
    <col min="4865" max="4865" width="38.109375" style="61" customWidth="1"/>
    <col min="4866" max="4866" width="1.44140625" style="61" customWidth="1"/>
    <col min="4867" max="4867" width="22.5546875" style="61" customWidth="1"/>
    <col min="4868" max="4868" width="1.44140625" style="61" customWidth="1"/>
    <col min="4869" max="4869" width="23.33203125" style="61" customWidth="1"/>
    <col min="4870" max="4870" width="4.44140625" style="61" customWidth="1"/>
    <col min="4871" max="4871" width="23" style="61" customWidth="1"/>
    <col min="4872" max="4872" width="4.109375" style="61" customWidth="1"/>
    <col min="4873" max="4876" width="0" style="61" hidden="1" customWidth="1"/>
    <col min="4877" max="4877" width="24.88671875" style="61" customWidth="1"/>
    <col min="4878" max="4878" width="37" style="61" customWidth="1"/>
    <col min="4879" max="5120" width="9.109375" style="61"/>
    <col min="5121" max="5121" width="38.109375" style="61" customWidth="1"/>
    <col min="5122" max="5122" width="1.44140625" style="61" customWidth="1"/>
    <col min="5123" max="5123" width="22.5546875" style="61" customWidth="1"/>
    <col min="5124" max="5124" width="1.44140625" style="61" customWidth="1"/>
    <col min="5125" max="5125" width="23.33203125" style="61" customWidth="1"/>
    <col min="5126" max="5126" width="4.44140625" style="61" customWidth="1"/>
    <col min="5127" max="5127" width="23" style="61" customWidth="1"/>
    <col min="5128" max="5128" width="4.109375" style="61" customWidth="1"/>
    <col min="5129" max="5132" width="0" style="61" hidden="1" customWidth="1"/>
    <col min="5133" max="5133" width="24.88671875" style="61" customWidth="1"/>
    <col min="5134" max="5134" width="37" style="61" customWidth="1"/>
    <col min="5135" max="5376" width="9.109375" style="61"/>
    <col min="5377" max="5377" width="38.109375" style="61" customWidth="1"/>
    <col min="5378" max="5378" width="1.44140625" style="61" customWidth="1"/>
    <col min="5379" max="5379" width="22.5546875" style="61" customWidth="1"/>
    <col min="5380" max="5380" width="1.44140625" style="61" customWidth="1"/>
    <col min="5381" max="5381" width="23.33203125" style="61" customWidth="1"/>
    <col min="5382" max="5382" width="4.44140625" style="61" customWidth="1"/>
    <col min="5383" max="5383" width="23" style="61" customWidth="1"/>
    <col min="5384" max="5384" width="4.109375" style="61" customWidth="1"/>
    <col min="5385" max="5388" width="0" style="61" hidden="1" customWidth="1"/>
    <col min="5389" max="5389" width="24.88671875" style="61" customWidth="1"/>
    <col min="5390" max="5390" width="37" style="61" customWidth="1"/>
    <col min="5391" max="5632" width="9.109375" style="61"/>
    <col min="5633" max="5633" width="38.109375" style="61" customWidth="1"/>
    <col min="5634" max="5634" width="1.44140625" style="61" customWidth="1"/>
    <col min="5635" max="5635" width="22.5546875" style="61" customWidth="1"/>
    <col min="5636" max="5636" width="1.44140625" style="61" customWidth="1"/>
    <col min="5637" max="5637" width="23.33203125" style="61" customWidth="1"/>
    <col min="5638" max="5638" width="4.44140625" style="61" customWidth="1"/>
    <col min="5639" max="5639" width="23" style="61" customWidth="1"/>
    <col min="5640" max="5640" width="4.109375" style="61" customWidth="1"/>
    <col min="5641" max="5644" width="0" style="61" hidden="1" customWidth="1"/>
    <col min="5645" max="5645" width="24.88671875" style="61" customWidth="1"/>
    <col min="5646" max="5646" width="37" style="61" customWidth="1"/>
    <col min="5647" max="5888" width="9.109375" style="61"/>
    <col min="5889" max="5889" width="38.109375" style="61" customWidth="1"/>
    <col min="5890" max="5890" width="1.44140625" style="61" customWidth="1"/>
    <col min="5891" max="5891" width="22.5546875" style="61" customWidth="1"/>
    <col min="5892" max="5892" width="1.44140625" style="61" customWidth="1"/>
    <col min="5893" max="5893" width="23.33203125" style="61" customWidth="1"/>
    <col min="5894" max="5894" width="4.44140625" style="61" customWidth="1"/>
    <col min="5895" max="5895" width="23" style="61" customWidth="1"/>
    <col min="5896" max="5896" width="4.109375" style="61" customWidth="1"/>
    <col min="5897" max="5900" width="0" style="61" hidden="1" customWidth="1"/>
    <col min="5901" max="5901" width="24.88671875" style="61" customWidth="1"/>
    <col min="5902" max="5902" width="37" style="61" customWidth="1"/>
    <col min="5903" max="6144" width="9.109375" style="61"/>
    <col min="6145" max="6145" width="38.109375" style="61" customWidth="1"/>
    <col min="6146" max="6146" width="1.44140625" style="61" customWidth="1"/>
    <col min="6147" max="6147" width="22.5546875" style="61" customWidth="1"/>
    <col min="6148" max="6148" width="1.44140625" style="61" customWidth="1"/>
    <col min="6149" max="6149" width="23.33203125" style="61" customWidth="1"/>
    <col min="6150" max="6150" width="4.44140625" style="61" customWidth="1"/>
    <col min="6151" max="6151" width="23" style="61" customWidth="1"/>
    <col min="6152" max="6152" width="4.109375" style="61" customWidth="1"/>
    <col min="6153" max="6156" width="0" style="61" hidden="1" customWidth="1"/>
    <col min="6157" max="6157" width="24.88671875" style="61" customWidth="1"/>
    <col min="6158" max="6158" width="37" style="61" customWidth="1"/>
    <col min="6159" max="6400" width="9.109375" style="61"/>
    <col min="6401" max="6401" width="38.109375" style="61" customWidth="1"/>
    <col min="6402" max="6402" width="1.44140625" style="61" customWidth="1"/>
    <col min="6403" max="6403" width="22.5546875" style="61" customWidth="1"/>
    <col min="6404" max="6404" width="1.44140625" style="61" customWidth="1"/>
    <col min="6405" max="6405" width="23.33203125" style="61" customWidth="1"/>
    <col min="6406" max="6406" width="4.44140625" style="61" customWidth="1"/>
    <col min="6407" max="6407" width="23" style="61" customWidth="1"/>
    <col min="6408" max="6408" width="4.109375" style="61" customWidth="1"/>
    <col min="6409" max="6412" width="0" style="61" hidden="1" customWidth="1"/>
    <col min="6413" max="6413" width="24.88671875" style="61" customWidth="1"/>
    <col min="6414" max="6414" width="37" style="61" customWidth="1"/>
    <col min="6415" max="6656" width="9.109375" style="61"/>
    <col min="6657" max="6657" width="38.109375" style="61" customWidth="1"/>
    <col min="6658" max="6658" width="1.44140625" style="61" customWidth="1"/>
    <col min="6659" max="6659" width="22.5546875" style="61" customWidth="1"/>
    <col min="6660" max="6660" width="1.44140625" style="61" customWidth="1"/>
    <col min="6661" max="6661" width="23.33203125" style="61" customWidth="1"/>
    <col min="6662" max="6662" width="4.44140625" style="61" customWidth="1"/>
    <col min="6663" max="6663" width="23" style="61" customWidth="1"/>
    <col min="6664" max="6664" width="4.109375" style="61" customWidth="1"/>
    <col min="6665" max="6668" width="0" style="61" hidden="1" customWidth="1"/>
    <col min="6669" max="6669" width="24.88671875" style="61" customWidth="1"/>
    <col min="6670" max="6670" width="37" style="61" customWidth="1"/>
    <col min="6671" max="6912" width="9.109375" style="61"/>
    <col min="6913" max="6913" width="38.109375" style="61" customWidth="1"/>
    <col min="6914" max="6914" width="1.44140625" style="61" customWidth="1"/>
    <col min="6915" max="6915" width="22.5546875" style="61" customWidth="1"/>
    <col min="6916" max="6916" width="1.44140625" style="61" customWidth="1"/>
    <col min="6917" max="6917" width="23.33203125" style="61" customWidth="1"/>
    <col min="6918" max="6918" width="4.44140625" style="61" customWidth="1"/>
    <col min="6919" max="6919" width="23" style="61" customWidth="1"/>
    <col min="6920" max="6920" width="4.109375" style="61" customWidth="1"/>
    <col min="6921" max="6924" width="0" style="61" hidden="1" customWidth="1"/>
    <col min="6925" max="6925" width="24.88671875" style="61" customWidth="1"/>
    <col min="6926" max="6926" width="37" style="61" customWidth="1"/>
    <col min="6927" max="7168" width="9.109375" style="61"/>
    <col min="7169" max="7169" width="38.109375" style="61" customWidth="1"/>
    <col min="7170" max="7170" width="1.44140625" style="61" customWidth="1"/>
    <col min="7171" max="7171" width="22.5546875" style="61" customWidth="1"/>
    <col min="7172" max="7172" width="1.44140625" style="61" customWidth="1"/>
    <col min="7173" max="7173" width="23.33203125" style="61" customWidth="1"/>
    <col min="7174" max="7174" width="4.44140625" style="61" customWidth="1"/>
    <col min="7175" max="7175" width="23" style="61" customWidth="1"/>
    <col min="7176" max="7176" width="4.109375" style="61" customWidth="1"/>
    <col min="7177" max="7180" width="0" style="61" hidden="1" customWidth="1"/>
    <col min="7181" max="7181" width="24.88671875" style="61" customWidth="1"/>
    <col min="7182" max="7182" width="37" style="61" customWidth="1"/>
    <col min="7183" max="7424" width="9.109375" style="61"/>
    <col min="7425" max="7425" width="38.109375" style="61" customWidth="1"/>
    <col min="7426" max="7426" width="1.44140625" style="61" customWidth="1"/>
    <col min="7427" max="7427" width="22.5546875" style="61" customWidth="1"/>
    <col min="7428" max="7428" width="1.44140625" style="61" customWidth="1"/>
    <col min="7429" max="7429" width="23.33203125" style="61" customWidth="1"/>
    <col min="7430" max="7430" width="4.44140625" style="61" customWidth="1"/>
    <col min="7431" max="7431" width="23" style="61" customWidth="1"/>
    <col min="7432" max="7432" width="4.109375" style="61" customWidth="1"/>
    <col min="7433" max="7436" width="0" style="61" hidden="1" customWidth="1"/>
    <col min="7437" max="7437" width="24.88671875" style="61" customWidth="1"/>
    <col min="7438" max="7438" width="37" style="61" customWidth="1"/>
    <col min="7439" max="7680" width="9.109375" style="61"/>
    <col min="7681" max="7681" width="38.109375" style="61" customWidth="1"/>
    <col min="7682" max="7682" width="1.44140625" style="61" customWidth="1"/>
    <col min="7683" max="7683" width="22.5546875" style="61" customWidth="1"/>
    <col min="7684" max="7684" width="1.44140625" style="61" customWidth="1"/>
    <col min="7685" max="7685" width="23.33203125" style="61" customWidth="1"/>
    <col min="7686" max="7686" width="4.44140625" style="61" customWidth="1"/>
    <col min="7687" max="7687" width="23" style="61" customWidth="1"/>
    <col min="7688" max="7688" width="4.109375" style="61" customWidth="1"/>
    <col min="7689" max="7692" width="0" style="61" hidden="1" customWidth="1"/>
    <col min="7693" max="7693" width="24.88671875" style="61" customWidth="1"/>
    <col min="7694" max="7694" width="37" style="61" customWidth="1"/>
    <col min="7695" max="7936" width="9.109375" style="61"/>
    <col min="7937" max="7937" width="38.109375" style="61" customWidth="1"/>
    <col min="7938" max="7938" width="1.44140625" style="61" customWidth="1"/>
    <col min="7939" max="7939" width="22.5546875" style="61" customWidth="1"/>
    <col min="7940" max="7940" width="1.44140625" style="61" customWidth="1"/>
    <col min="7941" max="7941" width="23.33203125" style="61" customWidth="1"/>
    <col min="7942" max="7942" width="4.44140625" style="61" customWidth="1"/>
    <col min="7943" max="7943" width="23" style="61" customWidth="1"/>
    <col min="7944" max="7944" width="4.109375" style="61" customWidth="1"/>
    <col min="7945" max="7948" width="0" style="61" hidden="1" customWidth="1"/>
    <col min="7949" max="7949" width="24.88671875" style="61" customWidth="1"/>
    <col min="7950" max="7950" width="37" style="61" customWidth="1"/>
    <col min="7951" max="8192" width="9.109375" style="61"/>
    <col min="8193" max="8193" width="38.109375" style="61" customWidth="1"/>
    <col min="8194" max="8194" width="1.44140625" style="61" customWidth="1"/>
    <col min="8195" max="8195" width="22.5546875" style="61" customWidth="1"/>
    <col min="8196" max="8196" width="1.44140625" style="61" customWidth="1"/>
    <col min="8197" max="8197" width="23.33203125" style="61" customWidth="1"/>
    <col min="8198" max="8198" width="4.44140625" style="61" customWidth="1"/>
    <col min="8199" max="8199" width="23" style="61" customWidth="1"/>
    <col min="8200" max="8200" width="4.109375" style="61" customWidth="1"/>
    <col min="8201" max="8204" width="0" style="61" hidden="1" customWidth="1"/>
    <col min="8205" max="8205" width="24.88671875" style="61" customWidth="1"/>
    <col min="8206" max="8206" width="37" style="61" customWidth="1"/>
    <col min="8207" max="8448" width="9.109375" style="61"/>
    <col min="8449" max="8449" width="38.109375" style="61" customWidth="1"/>
    <col min="8450" max="8450" width="1.44140625" style="61" customWidth="1"/>
    <col min="8451" max="8451" width="22.5546875" style="61" customWidth="1"/>
    <col min="8452" max="8452" width="1.44140625" style="61" customWidth="1"/>
    <col min="8453" max="8453" width="23.33203125" style="61" customWidth="1"/>
    <col min="8454" max="8454" width="4.44140625" style="61" customWidth="1"/>
    <col min="8455" max="8455" width="23" style="61" customWidth="1"/>
    <col min="8456" max="8456" width="4.109375" style="61" customWidth="1"/>
    <col min="8457" max="8460" width="0" style="61" hidden="1" customWidth="1"/>
    <col min="8461" max="8461" width="24.88671875" style="61" customWidth="1"/>
    <col min="8462" max="8462" width="37" style="61" customWidth="1"/>
    <col min="8463" max="8704" width="9.109375" style="61"/>
    <col min="8705" max="8705" width="38.109375" style="61" customWidth="1"/>
    <col min="8706" max="8706" width="1.44140625" style="61" customWidth="1"/>
    <col min="8707" max="8707" width="22.5546875" style="61" customWidth="1"/>
    <col min="8708" max="8708" width="1.44140625" style="61" customWidth="1"/>
    <col min="8709" max="8709" width="23.33203125" style="61" customWidth="1"/>
    <col min="8710" max="8710" width="4.44140625" style="61" customWidth="1"/>
    <col min="8711" max="8711" width="23" style="61" customWidth="1"/>
    <col min="8712" max="8712" width="4.109375" style="61" customWidth="1"/>
    <col min="8713" max="8716" width="0" style="61" hidden="1" customWidth="1"/>
    <col min="8717" max="8717" width="24.88671875" style="61" customWidth="1"/>
    <col min="8718" max="8718" width="37" style="61" customWidth="1"/>
    <col min="8719" max="8960" width="9.109375" style="61"/>
    <col min="8961" max="8961" width="38.109375" style="61" customWidth="1"/>
    <col min="8962" max="8962" width="1.44140625" style="61" customWidth="1"/>
    <col min="8963" max="8963" width="22.5546875" style="61" customWidth="1"/>
    <col min="8964" max="8964" width="1.44140625" style="61" customWidth="1"/>
    <col min="8965" max="8965" width="23.33203125" style="61" customWidth="1"/>
    <col min="8966" max="8966" width="4.44140625" style="61" customWidth="1"/>
    <col min="8967" max="8967" width="23" style="61" customWidth="1"/>
    <col min="8968" max="8968" width="4.109375" style="61" customWidth="1"/>
    <col min="8969" max="8972" width="0" style="61" hidden="1" customWidth="1"/>
    <col min="8973" max="8973" width="24.88671875" style="61" customWidth="1"/>
    <col min="8974" max="8974" width="37" style="61" customWidth="1"/>
    <col min="8975" max="9216" width="9.109375" style="61"/>
    <col min="9217" max="9217" width="38.109375" style="61" customWidth="1"/>
    <col min="9218" max="9218" width="1.44140625" style="61" customWidth="1"/>
    <col min="9219" max="9219" width="22.5546875" style="61" customWidth="1"/>
    <col min="9220" max="9220" width="1.44140625" style="61" customWidth="1"/>
    <col min="9221" max="9221" width="23.33203125" style="61" customWidth="1"/>
    <col min="9222" max="9222" width="4.44140625" style="61" customWidth="1"/>
    <col min="9223" max="9223" width="23" style="61" customWidth="1"/>
    <col min="9224" max="9224" width="4.109375" style="61" customWidth="1"/>
    <col min="9225" max="9228" width="0" style="61" hidden="1" customWidth="1"/>
    <col min="9229" max="9229" width="24.88671875" style="61" customWidth="1"/>
    <col min="9230" max="9230" width="37" style="61" customWidth="1"/>
    <col min="9231" max="9472" width="9.109375" style="61"/>
    <col min="9473" max="9473" width="38.109375" style="61" customWidth="1"/>
    <col min="9474" max="9474" width="1.44140625" style="61" customWidth="1"/>
    <col min="9475" max="9475" width="22.5546875" style="61" customWidth="1"/>
    <col min="9476" max="9476" width="1.44140625" style="61" customWidth="1"/>
    <col min="9477" max="9477" width="23.33203125" style="61" customWidth="1"/>
    <col min="9478" max="9478" width="4.44140625" style="61" customWidth="1"/>
    <col min="9479" max="9479" width="23" style="61" customWidth="1"/>
    <col min="9480" max="9480" width="4.109375" style="61" customWidth="1"/>
    <col min="9481" max="9484" width="0" style="61" hidden="1" customWidth="1"/>
    <col min="9485" max="9485" width="24.88671875" style="61" customWidth="1"/>
    <col min="9486" max="9486" width="37" style="61" customWidth="1"/>
    <col min="9487" max="9728" width="9.109375" style="61"/>
    <col min="9729" max="9729" width="38.109375" style="61" customWidth="1"/>
    <col min="9730" max="9730" width="1.44140625" style="61" customWidth="1"/>
    <col min="9731" max="9731" width="22.5546875" style="61" customWidth="1"/>
    <col min="9732" max="9732" width="1.44140625" style="61" customWidth="1"/>
    <col min="9733" max="9733" width="23.33203125" style="61" customWidth="1"/>
    <col min="9734" max="9734" width="4.44140625" style="61" customWidth="1"/>
    <col min="9735" max="9735" width="23" style="61" customWidth="1"/>
    <col min="9736" max="9736" width="4.109375" style="61" customWidth="1"/>
    <col min="9737" max="9740" width="0" style="61" hidden="1" customWidth="1"/>
    <col min="9741" max="9741" width="24.88671875" style="61" customWidth="1"/>
    <col min="9742" max="9742" width="37" style="61" customWidth="1"/>
    <col min="9743" max="9984" width="9.109375" style="61"/>
    <col min="9985" max="9985" width="38.109375" style="61" customWidth="1"/>
    <col min="9986" max="9986" width="1.44140625" style="61" customWidth="1"/>
    <col min="9987" max="9987" width="22.5546875" style="61" customWidth="1"/>
    <col min="9988" max="9988" width="1.44140625" style="61" customWidth="1"/>
    <col min="9989" max="9989" width="23.33203125" style="61" customWidth="1"/>
    <col min="9990" max="9990" width="4.44140625" style="61" customWidth="1"/>
    <col min="9991" max="9991" width="23" style="61" customWidth="1"/>
    <col min="9992" max="9992" width="4.109375" style="61" customWidth="1"/>
    <col min="9993" max="9996" width="0" style="61" hidden="1" customWidth="1"/>
    <col min="9997" max="9997" width="24.88671875" style="61" customWidth="1"/>
    <col min="9998" max="9998" width="37" style="61" customWidth="1"/>
    <col min="9999" max="10240" width="9.109375" style="61"/>
    <col min="10241" max="10241" width="38.109375" style="61" customWidth="1"/>
    <col min="10242" max="10242" width="1.44140625" style="61" customWidth="1"/>
    <col min="10243" max="10243" width="22.5546875" style="61" customWidth="1"/>
    <col min="10244" max="10244" width="1.44140625" style="61" customWidth="1"/>
    <col min="10245" max="10245" width="23.33203125" style="61" customWidth="1"/>
    <col min="10246" max="10246" width="4.44140625" style="61" customWidth="1"/>
    <col min="10247" max="10247" width="23" style="61" customWidth="1"/>
    <col min="10248" max="10248" width="4.109375" style="61" customWidth="1"/>
    <col min="10249" max="10252" width="0" style="61" hidden="1" customWidth="1"/>
    <col min="10253" max="10253" width="24.88671875" style="61" customWidth="1"/>
    <col min="10254" max="10254" width="37" style="61" customWidth="1"/>
    <col min="10255" max="10496" width="9.109375" style="61"/>
    <col min="10497" max="10497" width="38.109375" style="61" customWidth="1"/>
    <col min="10498" max="10498" width="1.44140625" style="61" customWidth="1"/>
    <col min="10499" max="10499" width="22.5546875" style="61" customWidth="1"/>
    <col min="10500" max="10500" width="1.44140625" style="61" customWidth="1"/>
    <col min="10501" max="10501" width="23.33203125" style="61" customWidth="1"/>
    <col min="10502" max="10502" width="4.44140625" style="61" customWidth="1"/>
    <col min="10503" max="10503" width="23" style="61" customWidth="1"/>
    <col min="10504" max="10504" width="4.109375" style="61" customWidth="1"/>
    <col min="10505" max="10508" width="0" style="61" hidden="1" customWidth="1"/>
    <col min="10509" max="10509" width="24.88671875" style="61" customWidth="1"/>
    <col min="10510" max="10510" width="37" style="61" customWidth="1"/>
    <col min="10511" max="10752" width="9.109375" style="61"/>
    <col min="10753" max="10753" width="38.109375" style="61" customWidth="1"/>
    <col min="10754" max="10754" width="1.44140625" style="61" customWidth="1"/>
    <col min="10755" max="10755" width="22.5546875" style="61" customWidth="1"/>
    <col min="10756" max="10756" width="1.44140625" style="61" customWidth="1"/>
    <col min="10757" max="10757" width="23.33203125" style="61" customWidth="1"/>
    <col min="10758" max="10758" width="4.44140625" style="61" customWidth="1"/>
    <col min="10759" max="10759" width="23" style="61" customWidth="1"/>
    <col min="10760" max="10760" width="4.109375" style="61" customWidth="1"/>
    <col min="10761" max="10764" width="0" style="61" hidden="1" customWidth="1"/>
    <col min="10765" max="10765" width="24.88671875" style="61" customWidth="1"/>
    <col min="10766" max="10766" width="37" style="61" customWidth="1"/>
    <col min="10767" max="11008" width="9.109375" style="61"/>
    <col min="11009" max="11009" width="38.109375" style="61" customWidth="1"/>
    <col min="11010" max="11010" width="1.44140625" style="61" customWidth="1"/>
    <col min="11011" max="11011" width="22.5546875" style="61" customWidth="1"/>
    <col min="11012" max="11012" width="1.44140625" style="61" customWidth="1"/>
    <col min="11013" max="11013" width="23.33203125" style="61" customWidth="1"/>
    <col min="11014" max="11014" width="4.44140625" style="61" customWidth="1"/>
    <col min="11015" max="11015" width="23" style="61" customWidth="1"/>
    <col min="11016" max="11016" width="4.109375" style="61" customWidth="1"/>
    <col min="11017" max="11020" width="0" style="61" hidden="1" customWidth="1"/>
    <col min="11021" max="11021" width="24.88671875" style="61" customWidth="1"/>
    <col min="11022" max="11022" width="37" style="61" customWidth="1"/>
    <col min="11023" max="11264" width="9.109375" style="61"/>
    <col min="11265" max="11265" width="38.109375" style="61" customWidth="1"/>
    <col min="11266" max="11266" width="1.44140625" style="61" customWidth="1"/>
    <col min="11267" max="11267" width="22.5546875" style="61" customWidth="1"/>
    <col min="11268" max="11268" width="1.44140625" style="61" customWidth="1"/>
    <col min="11269" max="11269" width="23.33203125" style="61" customWidth="1"/>
    <col min="11270" max="11270" width="4.44140625" style="61" customWidth="1"/>
    <col min="11271" max="11271" width="23" style="61" customWidth="1"/>
    <col min="11272" max="11272" width="4.109375" style="61" customWidth="1"/>
    <col min="11273" max="11276" width="0" style="61" hidden="1" customWidth="1"/>
    <col min="11277" max="11277" width="24.88671875" style="61" customWidth="1"/>
    <col min="11278" max="11278" width="37" style="61" customWidth="1"/>
    <col min="11279" max="11520" width="9.109375" style="61"/>
    <col min="11521" max="11521" width="38.109375" style="61" customWidth="1"/>
    <col min="11522" max="11522" width="1.44140625" style="61" customWidth="1"/>
    <col min="11523" max="11523" width="22.5546875" style="61" customWidth="1"/>
    <col min="11524" max="11524" width="1.44140625" style="61" customWidth="1"/>
    <col min="11525" max="11525" width="23.33203125" style="61" customWidth="1"/>
    <col min="11526" max="11526" width="4.44140625" style="61" customWidth="1"/>
    <col min="11527" max="11527" width="23" style="61" customWidth="1"/>
    <col min="11528" max="11528" width="4.109375" style="61" customWidth="1"/>
    <col min="11529" max="11532" width="0" style="61" hidden="1" customWidth="1"/>
    <col min="11533" max="11533" width="24.88671875" style="61" customWidth="1"/>
    <col min="11534" max="11534" width="37" style="61" customWidth="1"/>
    <col min="11535" max="11776" width="9.109375" style="61"/>
    <col min="11777" max="11777" width="38.109375" style="61" customWidth="1"/>
    <col min="11778" max="11778" width="1.44140625" style="61" customWidth="1"/>
    <col min="11779" max="11779" width="22.5546875" style="61" customWidth="1"/>
    <col min="11780" max="11780" width="1.44140625" style="61" customWidth="1"/>
    <col min="11781" max="11781" width="23.33203125" style="61" customWidth="1"/>
    <col min="11782" max="11782" width="4.44140625" style="61" customWidth="1"/>
    <col min="11783" max="11783" width="23" style="61" customWidth="1"/>
    <col min="11784" max="11784" width="4.109375" style="61" customWidth="1"/>
    <col min="11785" max="11788" width="0" style="61" hidden="1" customWidth="1"/>
    <col min="11789" max="11789" width="24.88671875" style="61" customWidth="1"/>
    <col min="11790" max="11790" width="37" style="61" customWidth="1"/>
    <col min="11791" max="12032" width="9.109375" style="61"/>
    <col min="12033" max="12033" width="38.109375" style="61" customWidth="1"/>
    <col min="12034" max="12034" width="1.44140625" style="61" customWidth="1"/>
    <col min="12035" max="12035" width="22.5546875" style="61" customWidth="1"/>
    <col min="12036" max="12036" width="1.44140625" style="61" customWidth="1"/>
    <col min="12037" max="12037" width="23.33203125" style="61" customWidth="1"/>
    <col min="12038" max="12038" width="4.44140625" style="61" customWidth="1"/>
    <col min="12039" max="12039" width="23" style="61" customWidth="1"/>
    <col min="12040" max="12040" width="4.109375" style="61" customWidth="1"/>
    <col min="12041" max="12044" width="0" style="61" hidden="1" customWidth="1"/>
    <col min="12045" max="12045" width="24.88671875" style="61" customWidth="1"/>
    <col min="12046" max="12046" width="37" style="61" customWidth="1"/>
    <col min="12047" max="12288" width="9.109375" style="61"/>
    <col min="12289" max="12289" width="38.109375" style="61" customWidth="1"/>
    <col min="12290" max="12290" width="1.44140625" style="61" customWidth="1"/>
    <col min="12291" max="12291" width="22.5546875" style="61" customWidth="1"/>
    <col min="12292" max="12292" width="1.44140625" style="61" customWidth="1"/>
    <col min="12293" max="12293" width="23.33203125" style="61" customWidth="1"/>
    <col min="12294" max="12294" width="4.44140625" style="61" customWidth="1"/>
    <col min="12295" max="12295" width="23" style="61" customWidth="1"/>
    <col min="12296" max="12296" width="4.109375" style="61" customWidth="1"/>
    <col min="12297" max="12300" width="0" style="61" hidden="1" customWidth="1"/>
    <col min="12301" max="12301" width="24.88671875" style="61" customWidth="1"/>
    <col min="12302" max="12302" width="37" style="61" customWidth="1"/>
    <col min="12303" max="12544" width="9.109375" style="61"/>
    <col min="12545" max="12545" width="38.109375" style="61" customWidth="1"/>
    <col min="12546" max="12546" width="1.44140625" style="61" customWidth="1"/>
    <col min="12547" max="12547" width="22.5546875" style="61" customWidth="1"/>
    <col min="12548" max="12548" width="1.44140625" style="61" customWidth="1"/>
    <col min="12549" max="12549" width="23.33203125" style="61" customWidth="1"/>
    <col min="12550" max="12550" width="4.44140625" style="61" customWidth="1"/>
    <col min="12551" max="12551" width="23" style="61" customWidth="1"/>
    <col min="12552" max="12552" width="4.109375" style="61" customWidth="1"/>
    <col min="12553" max="12556" width="0" style="61" hidden="1" customWidth="1"/>
    <col min="12557" max="12557" width="24.88671875" style="61" customWidth="1"/>
    <col min="12558" max="12558" width="37" style="61" customWidth="1"/>
    <col min="12559" max="12800" width="9.109375" style="61"/>
    <col min="12801" max="12801" width="38.109375" style="61" customWidth="1"/>
    <col min="12802" max="12802" width="1.44140625" style="61" customWidth="1"/>
    <col min="12803" max="12803" width="22.5546875" style="61" customWidth="1"/>
    <col min="12804" max="12804" width="1.44140625" style="61" customWidth="1"/>
    <col min="12805" max="12805" width="23.33203125" style="61" customWidth="1"/>
    <col min="12806" max="12806" width="4.44140625" style="61" customWidth="1"/>
    <col min="12807" max="12807" width="23" style="61" customWidth="1"/>
    <col min="12808" max="12808" width="4.109375" style="61" customWidth="1"/>
    <col min="12809" max="12812" width="0" style="61" hidden="1" customWidth="1"/>
    <col min="12813" max="12813" width="24.88671875" style="61" customWidth="1"/>
    <col min="12814" max="12814" width="37" style="61" customWidth="1"/>
    <col min="12815" max="13056" width="9.109375" style="61"/>
    <col min="13057" max="13057" width="38.109375" style="61" customWidth="1"/>
    <col min="13058" max="13058" width="1.44140625" style="61" customWidth="1"/>
    <col min="13059" max="13059" width="22.5546875" style="61" customWidth="1"/>
    <col min="13060" max="13060" width="1.44140625" style="61" customWidth="1"/>
    <col min="13061" max="13061" width="23.33203125" style="61" customWidth="1"/>
    <col min="13062" max="13062" width="4.44140625" style="61" customWidth="1"/>
    <col min="13063" max="13063" width="23" style="61" customWidth="1"/>
    <col min="13064" max="13064" width="4.109375" style="61" customWidth="1"/>
    <col min="13065" max="13068" width="0" style="61" hidden="1" customWidth="1"/>
    <col min="13069" max="13069" width="24.88671875" style="61" customWidth="1"/>
    <col min="13070" max="13070" width="37" style="61" customWidth="1"/>
    <col min="13071" max="13312" width="9.109375" style="61"/>
    <col min="13313" max="13313" width="38.109375" style="61" customWidth="1"/>
    <col min="13314" max="13314" width="1.44140625" style="61" customWidth="1"/>
    <col min="13315" max="13315" width="22.5546875" style="61" customWidth="1"/>
    <col min="13316" max="13316" width="1.44140625" style="61" customWidth="1"/>
    <col min="13317" max="13317" width="23.33203125" style="61" customWidth="1"/>
    <col min="13318" max="13318" width="4.44140625" style="61" customWidth="1"/>
    <col min="13319" max="13319" width="23" style="61" customWidth="1"/>
    <col min="13320" max="13320" width="4.109375" style="61" customWidth="1"/>
    <col min="13321" max="13324" width="0" style="61" hidden="1" customWidth="1"/>
    <col min="13325" max="13325" width="24.88671875" style="61" customWidth="1"/>
    <col min="13326" max="13326" width="37" style="61" customWidth="1"/>
    <col min="13327" max="13568" width="9.109375" style="61"/>
    <col min="13569" max="13569" width="38.109375" style="61" customWidth="1"/>
    <col min="13570" max="13570" width="1.44140625" style="61" customWidth="1"/>
    <col min="13571" max="13571" width="22.5546875" style="61" customWidth="1"/>
    <col min="13572" max="13572" width="1.44140625" style="61" customWidth="1"/>
    <col min="13573" max="13573" width="23.33203125" style="61" customWidth="1"/>
    <col min="13574" max="13574" width="4.44140625" style="61" customWidth="1"/>
    <col min="13575" max="13575" width="23" style="61" customWidth="1"/>
    <col min="13576" max="13576" width="4.109375" style="61" customWidth="1"/>
    <col min="13577" max="13580" width="0" style="61" hidden="1" customWidth="1"/>
    <col min="13581" max="13581" width="24.88671875" style="61" customWidth="1"/>
    <col min="13582" max="13582" width="37" style="61" customWidth="1"/>
    <col min="13583" max="13824" width="9.109375" style="61"/>
    <col min="13825" max="13825" width="38.109375" style="61" customWidth="1"/>
    <col min="13826" max="13826" width="1.44140625" style="61" customWidth="1"/>
    <col min="13827" max="13827" width="22.5546875" style="61" customWidth="1"/>
    <col min="13828" max="13828" width="1.44140625" style="61" customWidth="1"/>
    <col min="13829" max="13829" width="23.33203125" style="61" customWidth="1"/>
    <col min="13830" max="13830" width="4.44140625" style="61" customWidth="1"/>
    <col min="13831" max="13831" width="23" style="61" customWidth="1"/>
    <col min="13832" max="13832" width="4.109375" style="61" customWidth="1"/>
    <col min="13833" max="13836" width="0" style="61" hidden="1" customWidth="1"/>
    <col min="13837" max="13837" width="24.88671875" style="61" customWidth="1"/>
    <col min="13838" max="13838" width="37" style="61" customWidth="1"/>
    <col min="13839" max="14080" width="9.109375" style="61"/>
    <col min="14081" max="14081" width="38.109375" style="61" customWidth="1"/>
    <col min="14082" max="14082" width="1.44140625" style="61" customWidth="1"/>
    <col min="14083" max="14083" width="22.5546875" style="61" customWidth="1"/>
    <col min="14084" max="14084" width="1.44140625" style="61" customWidth="1"/>
    <col min="14085" max="14085" width="23.33203125" style="61" customWidth="1"/>
    <col min="14086" max="14086" width="4.44140625" style="61" customWidth="1"/>
    <col min="14087" max="14087" width="23" style="61" customWidth="1"/>
    <col min="14088" max="14088" width="4.109375" style="61" customWidth="1"/>
    <col min="14089" max="14092" width="0" style="61" hidden="1" customWidth="1"/>
    <col min="14093" max="14093" width="24.88671875" style="61" customWidth="1"/>
    <col min="14094" max="14094" width="37" style="61" customWidth="1"/>
    <col min="14095" max="14336" width="9.109375" style="61"/>
    <col min="14337" max="14337" width="38.109375" style="61" customWidth="1"/>
    <col min="14338" max="14338" width="1.44140625" style="61" customWidth="1"/>
    <col min="14339" max="14339" width="22.5546875" style="61" customWidth="1"/>
    <col min="14340" max="14340" width="1.44140625" style="61" customWidth="1"/>
    <col min="14341" max="14341" width="23.33203125" style="61" customWidth="1"/>
    <col min="14342" max="14342" width="4.44140625" style="61" customWidth="1"/>
    <col min="14343" max="14343" width="23" style="61" customWidth="1"/>
    <col min="14344" max="14344" width="4.109375" style="61" customWidth="1"/>
    <col min="14345" max="14348" width="0" style="61" hidden="1" customWidth="1"/>
    <col min="14349" max="14349" width="24.88671875" style="61" customWidth="1"/>
    <col min="14350" max="14350" width="37" style="61" customWidth="1"/>
    <col min="14351" max="14592" width="9.109375" style="61"/>
    <col min="14593" max="14593" width="38.109375" style="61" customWidth="1"/>
    <col min="14594" max="14594" width="1.44140625" style="61" customWidth="1"/>
    <col min="14595" max="14595" width="22.5546875" style="61" customWidth="1"/>
    <col min="14596" max="14596" width="1.44140625" style="61" customWidth="1"/>
    <col min="14597" max="14597" width="23.33203125" style="61" customWidth="1"/>
    <col min="14598" max="14598" width="4.44140625" style="61" customWidth="1"/>
    <col min="14599" max="14599" width="23" style="61" customWidth="1"/>
    <col min="14600" max="14600" width="4.109375" style="61" customWidth="1"/>
    <col min="14601" max="14604" width="0" style="61" hidden="1" customWidth="1"/>
    <col min="14605" max="14605" width="24.88671875" style="61" customWidth="1"/>
    <col min="14606" max="14606" width="37" style="61" customWidth="1"/>
    <col min="14607" max="14848" width="9.109375" style="61"/>
    <col min="14849" max="14849" width="38.109375" style="61" customWidth="1"/>
    <col min="14850" max="14850" width="1.44140625" style="61" customWidth="1"/>
    <col min="14851" max="14851" width="22.5546875" style="61" customWidth="1"/>
    <col min="14852" max="14852" width="1.44140625" style="61" customWidth="1"/>
    <col min="14853" max="14853" width="23.33203125" style="61" customWidth="1"/>
    <col min="14854" max="14854" width="4.44140625" style="61" customWidth="1"/>
    <col min="14855" max="14855" width="23" style="61" customWidth="1"/>
    <col min="14856" max="14856" width="4.109375" style="61" customWidth="1"/>
    <col min="14857" max="14860" width="0" style="61" hidden="1" customWidth="1"/>
    <col min="14861" max="14861" width="24.88671875" style="61" customWidth="1"/>
    <col min="14862" max="14862" width="37" style="61" customWidth="1"/>
    <col min="14863" max="15104" width="9.109375" style="61"/>
    <col min="15105" max="15105" width="38.109375" style="61" customWidth="1"/>
    <col min="15106" max="15106" width="1.44140625" style="61" customWidth="1"/>
    <col min="15107" max="15107" width="22.5546875" style="61" customWidth="1"/>
    <col min="15108" max="15108" width="1.44140625" style="61" customWidth="1"/>
    <col min="15109" max="15109" width="23.33203125" style="61" customWidth="1"/>
    <col min="15110" max="15110" width="4.44140625" style="61" customWidth="1"/>
    <col min="15111" max="15111" width="23" style="61" customWidth="1"/>
    <col min="15112" max="15112" width="4.109375" style="61" customWidth="1"/>
    <col min="15113" max="15116" width="0" style="61" hidden="1" customWidth="1"/>
    <col min="15117" max="15117" width="24.88671875" style="61" customWidth="1"/>
    <col min="15118" max="15118" width="37" style="61" customWidth="1"/>
    <col min="15119" max="15360" width="9.109375" style="61"/>
    <col min="15361" max="15361" width="38.109375" style="61" customWidth="1"/>
    <col min="15362" max="15362" width="1.44140625" style="61" customWidth="1"/>
    <col min="15363" max="15363" width="22.5546875" style="61" customWidth="1"/>
    <col min="15364" max="15364" width="1.44140625" style="61" customWidth="1"/>
    <col min="15365" max="15365" width="23.33203125" style="61" customWidth="1"/>
    <col min="15366" max="15366" width="4.44140625" style="61" customWidth="1"/>
    <col min="15367" max="15367" width="23" style="61" customWidth="1"/>
    <col min="15368" max="15368" width="4.109375" style="61" customWidth="1"/>
    <col min="15369" max="15372" width="0" style="61" hidden="1" customWidth="1"/>
    <col min="15373" max="15373" width="24.88671875" style="61" customWidth="1"/>
    <col min="15374" max="15374" width="37" style="61" customWidth="1"/>
    <col min="15375" max="15616" width="9.109375" style="61"/>
    <col min="15617" max="15617" width="38.109375" style="61" customWidth="1"/>
    <col min="15618" max="15618" width="1.44140625" style="61" customWidth="1"/>
    <col min="15619" max="15619" width="22.5546875" style="61" customWidth="1"/>
    <col min="15620" max="15620" width="1.44140625" style="61" customWidth="1"/>
    <col min="15621" max="15621" width="23.33203125" style="61" customWidth="1"/>
    <col min="15622" max="15622" width="4.44140625" style="61" customWidth="1"/>
    <col min="15623" max="15623" width="23" style="61" customWidth="1"/>
    <col min="15624" max="15624" width="4.109375" style="61" customWidth="1"/>
    <col min="15625" max="15628" width="0" style="61" hidden="1" customWidth="1"/>
    <col min="15629" max="15629" width="24.88671875" style="61" customWidth="1"/>
    <col min="15630" max="15630" width="37" style="61" customWidth="1"/>
    <col min="15631" max="15872" width="9.109375" style="61"/>
    <col min="15873" max="15873" width="38.109375" style="61" customWidth="1"/>
    <col min="15874" max="15874" width="1.44140625" style="61" customWidth="1"/>
    <col min="15875" max="15875" width="22.5546875" style="61" customWidth="1"/>
    <col min="15876" max="15876" width="1.44140625" style="61" customWidth="1"/>
    <col min="15877" max="15877" width="23.33203125" style="61" customWidth="1"/>
    <col min="15878" max="15878" width="4.44140625" style="61" customWidth="1"/>
    <col min="15879" max="15879" width="23" style="61" customWidth="1"/>
    <col min="15880" max="15880" width="4.109375" style="61" customWidth="1"/>
    <col min="15881" max="15884" width="0" style="61" hidden="1" customWidth="1"/>
    <col min="15885" max="15885" width="24.88671875" style="61" customWidth="1"/>
    <col min="15886" max="15886" width="37" style="61" customWidth="1"/>
    <col min="15887" max="16128" width="9.109375" style="61"/>
    <col min="16129" max="16129" width="38.109375" style="61" customWidth="1"/>
    <col min="16130" max="16130" width="1.44140625" style="61" customWidth="1"/>
    <col min="16131" max="16131" width="22.5546875" style="61" customWidth="1"/>
    <col min="16132" max="16132" width="1.44140625" style="61" customWidth="1"/>
    <col min="16133" max="16133" width="23.33203125" style="61" customWidth="1"/>
    <col min="16134" max="16134" width="4.44140625" style="61" customWidth="1"/>
    <col min="16135" max="16135" width="23" style="61" customWidth="1"/>
    <col min="16136" max="16136" width="4.109375" style="61" customWidth="1"/>
    <col min="16137" max="16140" width="0" style="61" hidden="1" customWidth="1"/>
    <col min="16141" max="16141" width="24.88671875" style="61" customWidth="1"/>
    <col min="16142" max="16142" width="37" style="61" customWidth="1"/>
    <col min="16143" max="16384" width="9.109375" style="61"/>
  </cols>
  <sheetData>
    <row r="1" spans="1:16" ht="17.399999999999999" x14ac:dyDescent="0.3">
      <c r="A1" s="410" t="s">
        <v>741</v>
      </c>
      <c r="B1" s="410"/>
      <c r="C1" s="410"/>
      <c r="D1" s="410"/>
      <c r="E1" s="410"/>
      <c r="F1" s="410"/>
      <c r="G1" s="410"/>
      <c r="H1" s="410"/>
      <c r="I1" s="410"/>
      <c r="J1" s="410"/>
      <c r="K1" s="410"/>
      <c r="L1" s="410"/>
      <c r="M1" s="410"/>
      <c r="N1" s="410"/>
    </row>
    <row r="2" spans="1:16" ht="17.399999999999999" x14ac:dyDescent="0.3">
      <c r="A2" s="410" t="s">
        <v>446</v>
      </c>
      <c r="B2" s="410"/>
      <c r="C2" s="410"/>
      <c r="D2" s="410"/>
      <c r="E2" s="410"/>
      <c r="F2" s="410"/>
      <c r="G2" s="410"/>
      <c r="H2" s="410"/>
      <c r="I2" s="410"/>
      <c r="J2" s="410"/>
      <c r="K2" s="410"/>
      <c r="L2" s="410"/>
      <c r="M2" s="410"/>
      <c r="N2" s="410"/>
    </row>
    <row r="3" spans="1:16" ht="17.399999999999999" x14ac:dyDescent="0.3">
      <c r="A3" s="410" t="s">
        <v>447</v>
      </c>
      <c r="B3" s="410"/>
      <c r="C3" s="410"/>
      <c r="D3" s="410"/>
      <c r="E3" s="410"/>
      <c r="F3" s="410"/>
      <c r="G3" s="410"/>
      <c r="H3" s="410"/>
      <c r="I3" s="410"/>
      <c r="J3" s="410"/>
      <c r="K3" s="410"/>
      <c r="L3" s="410"/>
      <c r="M3" s="410"/>
      <c r="N3" s="410"/>
    </row>
    <row r="4" spans="1:16" x14ac:dyDescent="0.3">
      <c r="A4" s="412"/>
      <c r="B4" s="412"/>
      <c r="C4" s="412"/>
      <c r="D4" s="412"/>
      <c r="E4" s="412"/>
      <c r="F4" s="412"/>
      <c r="G4" s="412"/>
      <c r="H4" s="412"/>
      <c r="I4" s="412"/>
      <c r="J4" s="412"/>
      <c r="K4" s="412"/>
      <c r="L4" s="412"/>
      <c r="M4" s="412"/>
    </row>
    <row r="5" spans="1:16" x14ac:dyDescent="0.3">
      <c r="A5" s="161"/>
      <c r="B5" s="161"/>
      <c r="C5" s="83"/>
      <c r="D5" s="83"/>
      <c r="E5" s="83"/>
      <c r="F5" s="83"/>
      <c r="G5" s="83"/>
      <c r="H5" s="83"/>
      <c r="I5" s="83"/>
      <c r="J5" s="83"/>
      <c r="K5" s="83"/>
      <c r="L5" s="83"/>
      <c r="M5" s="83" t="s">
        <v>272</v>
      </c>
      <c r="N5" s="188"/>
      <c r="O5" s="88"/>
      <c r="P5" s="88"/>
    </row>
    <row r="6" spans="1:16" x14ac:dyDescent="0.3">
      <c r="A6" s="84"/>
      <c r="B6" s="84"/>
      <c r="C6" s="83" t="s">
        <v>162</v>
      </c>
      <c r="D6" s="168"/>
      <c r="E6" s="413" t="s">
        <v>163</v>
      </c>
      <c r="F6" s="413"/>
      <c r="G6" s="413"/>
      <c r="H6" s="413"/>
      <c r="I6" s="168"/>
      <c r="J6" s="168"/>
      <c r="K6" s="83"/>
      <c r="L6" s="83"/>
      <c r="M6" s="83" t="s">
        <v>338</v>
      </c>
      <c r="N6" s="169" t="s">
        <v>190</v>
      </c>
      <c r="O6" s="88"/>
      <c r="P6" s="88"/>
    </row>
    <row r="7" spans="1:16" x14ac:dyDescent="0.3">
      <c r="A7" s="84"/>
      <c r="B7" s="84"/>
      <c r="C7" s="83" t="s">
        <v>191</v>
      </c>
      <c r="D7" s="83"/>
      <c r="F7" s="83"/>
      <c r="G7" s="162"/>
      <c r="H7" s="83"/>
      <c r="I7" s="83"/>
      <c r="J7" s="83"/>
      <c r="K7" s="83"/>
      <c r="L7" s="83"/>
      <c r="M7" s="83" t="s">
        <v>340</v>
      </c>
      <c r="N7" s="169" t="s">
        <v>448</v>
      </c>
      <c r="O7" s="88"/>
      <c r="P7" s="88"/>
    </row>
    <row r="8" spans="1:16" x14ac:dyDescent="0.3">
      <c r="A8" s="84"/>
      <c r="B8" s="84"/>
      <c r="C8" s="162" t="s">
        <v>165</v>
      </c>
      <c r="D8" s="83"/>
      <c r="E8" s="162" t="s">
        <v>73</v>
      </c>
      <c r="F8" s="83" t="s">
        <v>449</v>
      </c>
      <c r="G8" s="162" t="s">
        <v>74</v>
      </c>
      <c r="H8" s="83" t="s">
        <v>449</v>
      </c>
      <c r="I8" s="162"/>
      <c r="J8" s="83"/>
      <c r="K8" s="162"/>
      <c r="L8" s="83"/>
      <c r="M8" s="162" t="s">
        <v>165</v>
      </c>
      <c r="N8" s="189" t="s">
        <v>450</v>
      </c>
      <c r="O8" s="88"/>
      <c r="P8" s="88"/>
    </row>
    <row r="9" spans="1:16" x14ac:dyDescent="0.3">
      <c r="A9" s="84"/>
      <c r="B9" s="84"/>
      <c r="C9" s="83"/>
      <c r="D9" s="161"/>
      <c r="E9" s="83"/>
      <c r="F9" s="161"/>
      <c r="G9" s="83"/>
      <c r="H9" s="161"/>
      <c r="I9" s="83"/>
      <c r="J9" s="161"/>
      <c r="K9" s="83"/>
      <c r="L9" s="161"/>
      <c r="M9" s="83"/>
    </row>
    <row r="10" spans="1:16" ht="18" customHeight="1" x14ac:dyDescent="0.3">
      <c r="A10" s="84" t="s">
        <v>451</v>
      </c>
      <c r="C10" s="98"/>
      <c r="D10" s="84"/>
      <c r="E10" s="98"/>
      <c r="F10" s="84"/>
      <c r="G10" s="98"/>
      <c r="H10" s="84"/>
      <c r="I10" s="84"/>
      <c r="J10" s="84"/>
      <c r="K10" s="84"/>
      <c r="L10" s="84"/>
      <c r="M10" s="98"/>
    </row>
    <row r="11" spans="1:16" ht="18" customHeight="1" x14ac:dyDescent="0.3">
      <c r="A11" s="61" t="s">
        <v>452</v>
      </c>
      <c r="C11" s="88"/>
      <c r="E11" s="88"/>
      <c r="G11" s="88"/>
      <c r="I11" s="88"/>
      <c r="K11" s="88"/>
      <c r="M11" s="88"/>
    </row>
    <row r="12" spans="1:16" ht="18" customHeight="1" x14ac:dyDescent="0.3">
      <c r="A12" s="61" t="s">
        <v>453</v>
      </c>
      <c r="C12" s="93"/>
      <c r="D12" s="86"/>
      <c r="E12" s="93"/>
      <c r="F12" s="86"/>
      <c r="G12" s="93"/>
      <c r="H12" s="86"/>
      <c r="I12" s="93"/>
      <c r="J12" s="86"/>
      <c r="K12" s="93"/>
      <c r="L12" s="86"/>
      <c r="M12" s="93">
        <f>+C12-E12+G12</f>
        <v>0</v>
      </c>
      <c r="N12" s="167" t="s">
        <v>454</v>
      </c>
    </row>
    <row r="13" spans="1:16" ht="18" customHeight="1" x14ac:dyDescent="0.3">
      <c r="A13" s="61" t="s">
        <v>455</v>
      </c>
      <c r="C13" s="93"/>
      <c r="D13" s="86"/>
      <c r="E13" s="93"/>
      <c r="F13" s="86"/>
      <c r="G13" s="93"/>
      <c r="H13" s="86"/>
      <c r="I13" s="93"/>
      <c r="J13" s="86"/>
      <c r="K13" s="93"/>
      <c r="L13" s="86"/>
      <c r="M13" s="93">
        <f t="shared" ref="M13:M19" si="0">+C13-E13+G13</f>
        <v>0</v>
      </c>
      <c r="N13" s="167" t="s">
        <v>454</v>
      </c>
    </row>
    <row r="14" spans="1:16" ht="18" customHeight="1" x14ac:dyDescent="0.3">
      <c r="A14" s="61" t="s">
        <v>456</v>
      </c>
      <c r="C14" s="93"/>
      <c r="D14" s="86"/>
      <c r="E14" s="93"/>
      <c r="F14" s="86"/>
      <c r="G14" s="93"/>
      <c r="H14" s="86"/>
      <c r="I14" s="93"/>
      <c r="J14" s="86"/>
      <c r="K14" s="93"/>
      <c r="L14" s="86"/>
      <c r="M14" s="93">
        <f t="shared" si="0"/>
        <v>0</v>
      </c>
      <c r="N14" s="167" t="s">
        <v>454</v>
      </c>
    </row>
    <row r="15" spans="1:16" ht="18" customHeight="1" x14ac:dyDescent="0.3">
      <c r="A15" s="61" t="s">
        <v>457</v>
      </c>
      <c r="C15" s="93"/>
      <c r="D15" s="86"/>
      <c r="E15" s="93"/>
      <c r="F15" s="86"/>
      <c r="G15" s="93"/>
      <c r="H15" s="86"/>
      <c r="I15" s="93"/>
      <c r="J15" s="86"/>
      <c r="K15" s="93"/>
      <c r="L15" s="86"/>
      <c r="M15" s="93">
        <f t="shared" si="0"/>
        <v>0</v>
      </c>
      <c r="N15" s="167" t="s">
        <v>454</v>
      </c>
    </row>
    <row r="16" spans="1:16" ht="18" customHeight="1" x14ac:dyDescent="0.3">
      <c r="A16" s="61" t="s">
        <v>458</v>
      </c>
      <c r="B16" s="88"/>
      <c r="C16" s="93"/>
      <c r="D16" s="86"/>
      <c r="E16" s="93"/>
      <c r="F16" s="86"/>
      <c r="G16" s="93"/>
      <c r="H16" s="86"/>
      <c r="I16" s="93"/>
      <c r="J16" s="86"/>
      <c r="K16" s="93"/>
      <c r="L16" s="86"/>
      <c r="M16" s="93">
        <f t="shared" si="0"/>
        <v>0</v>
      </c>
      <c r="N16" s="167" t="s">
        <v>454</v>
      </c>
    </row>
    <row r="17" spans="1:14" ht="18" customHeight="1" x14ac:dyDescent="0.3">
      <c r="A17" s="61" t="s">
        <v>459</v>
      </c>
      <c r="B17" s="88"/>
      <c r="C17" s="93"/>
      <c r="D17" s="86"/>
      <c r="E17" s="93"/>
      <c r="F17" s="86"/>
      <c r="G17" s="93"/>
      <c r="H17" s="86"/>
      <c r="I17" s="93"/>
      <c r="J17" s="86"/>
      <c r="K17" s="93"/>
      <c r="L17" s="86"/>
      <c r="M17" s="93">
        <f t="shared" si="0"/>
        <v>0</v>
      </c>
      <c r="N17" s="167" t="s">
        <v>460</v>
      </c>
    </row>
    <row r="18" spans="1:14" ht="18" customHeight="1" x14ac:dyDescent="0.3">
      <c r="A18" s="61" t="s">
        <v>461</v>
      </c>
      <c r="B18" s="88"/>
      <c r="C18" s="93"/>
      <c r="D18" s="86"/>
      <c r="E18" s="93"/>
      <c r="F18" s="86"/>
      <c r="G18" s="93"/>
      <c r="H18" s="86"/>
      <c r="I18" s="93"/>
      <c r="J18" s="86"/>
      <c r="K18" s="93"/>
      <c r="L18" s="86"/>
      <c r="M18" s="93">
        <f t="shared" si="0"/>
        <v>0</v>
      </c>
      <c r="N18" s="167" t="s">
        <v>454</v>
      </c>
    </row>
    <row r="19" spans="1:14" ht="18" customHeight="1" x14ac:dyDescent="0.3">
      <c r="A19" s="61" t="s">
        <v>462</v>
      </c>
      <c r="B19" s="88"/>
      <c r="C19" s="93"/>
      <c r="D19" s="86"/>
      <c r="E19" s="93"/>
      <c r="F19" s="86"/>
      <c r="G19" s="93"/>
      <c r="H19" s="86"/>
      <c r="I19" s="93"/>
      <c r="J19" s="86"/>
      <c r="K19" s="93"/>
      <c r="L19" s="86"/>
      <c r="M19" s="93">
        <f t="shared" si="0"/>
        <v>0</v>
      </c>
      <c r="N19" s="167" t="s">
        <v>454</v>
      </c>
    </row>
    <row r="20" spans="1:14" ht="18" customHeight="1" x14ac:dyDescent="0.3">
      <c r="B20" s="88"/>
      <c r="C20" s="93"/>
      <c r="D20" s="86"/>
      <c r="E20" s="93"/>
      <c r="F20" s="86"/>
      <c r="G20" s="93"/>
      <c r="H20" s="86"/>
      <c r="I20" s="85"/>
      <c r="J20" s="86"/>
      <c r="K20" s="85"/>
      <c r="L20" s="86"/>
      <c r="M20" s="93"/>
    </row>
    <row r="21" spans="1:14" ht="18" customHeight="1" x14ac:dyDescent="0.3">
      <c r="A21" s="61" t="s">
        <v>463</v>
      </c>
      <c r="B21" s="88"/>
      <c r="C21" s="89">
        <f>SUM(C12:C19)</f>
        <v>0</v>
      </c>
      <c r="D21" s="86"/>
      <c r="E21" s="89">
        <f>SUM(E12:E19)</f>
        <v>0</v>
      </c>
      <c r="F21" s="86"/>
      <c r="G21" s="89">
        <f>SUM(G12:G19)</f>
        <v>0</v>
      </c>
      <c r="H21" s="86"/>
      <c r="I21" s="85"/>
      <c r="J21" s="86"/>
      <c r="K21" s="85"/>
      <c r="L21" s="86"/>
      <c r="M21" s="89">
        <f>SUM(M12:M19)</f>
        <v>0</v>
      </c>
    </row>
    <row r="22" spans="1:14" ht="18" customHeight="1" x14ac:dyDescent="0.3">
      <c r="B22" s="88"/>
      <c r="C22" s="85"/>
      <c r="D22" s="85"/>
      <c r="E22" s="85"/>
      <c r="F22" s="85"/>
      <c r="G22" s="85"/>
      <c r="H22" s="85"/>
      <c r="I22" s="85"/>
      <c r="J22" s="85"/>
      <c r="K22" s="85"/>
      <c r="L22" s="85"/>
      <c r="M22" s="85"/>
    </row>
    <row r="23" spans="1:14" ht="18" customHeight="1" x14ac:dyDescent="0.3">
      <c r="A23" s="61" t="s">
        <v>464</v>
      </c>
      <c r="B23" s="88"/>
      <c r="C23" s="89"/>
      <c r="D23" s="86"/>
      <c r="E23" s="89"/>
      <c r="F23" s="86"/>
      <c r="G23" s="89"/>
      <c r="H23" s="86"/>
      <c r="I23" s="89"/>
      <c r="J23" s="86"/>
      <c r="K23" s="89"/>
      <c r="L23" s="86"/>
      <c r="M23" s="89">
        <f>+C23-E23+G23</f>
        <v>0</v>
      </c>
      <c r="N23" s="167" t="s">
        <v>465</v>
      </c>
    </row>
    <row r="24" spans="1:14" ht="18" customHeight="1" x14ac:dyDescent="0.3">
      <c r="B24" s="88"/>
      <c r="C24" s="85"/>
      <c r="D24" s="85"/>
      <c r="E24" s="85"/>
      <c r="F24" s="85"/>
      <c r="G24" s="85"/>
      <c r="H24" s="85"/>
      <c r="I24" s="85"/>
      <c r="J24" s="85"/>
      <c r="K24" s="85"/>
      <c r="L24" s="85"/>
      <c r="M24" s="85"/>
    </row>
    <row r="25" spans="1:14" ht="18" customHeight="1" x14ac:dyDescent="0.3">
      <c r="A25" s="61" t="s">
        <v>466</v>
      </c>
      <c r="B25" s="88"/>
      <c r="C25" s="85"/>
      <c r="D25" s="85"/>
      <c r="E25" s="85"/>
      <c r="F25" s="85"/>
      <c r="G25" s="85"/>
      <c r="H25" s="85"/>
      <c r="I25" s="85"/>
      <c r="J25" s="85"/>
      <c r="K25" s="85"/>
      <c r="L25" s="85"/>
      <c r="M25" s="85"/>
    </row>
    <row r="26" spans="1:14" ht="18" customHeight="1" x14ac:dyDescent="0.3">
      <c r="A26" s="61" t="s">
        <v>467</v>
      </c>
      <c r="B26" s="88"/>
      <c r="C26" s="93"/>
      <c r="D26" s="86"/>
      <c r="E26" s="93"/>
      <c r="F26" s="86"/>
      <c r="G26" s="93"/>
      <c r="H26" s="86"/>
      <c r="I26" s="93"/>
      <c r="J26" s="86"/>
      <c r="K26" s="93"/>
      <c r="L26" s="86"/>
      <c r="M26" s="93">
        <f>+C26-E26+G26</f>
        <v>0</v>
      </c>
      <c r="N26" s="167" t="s">
        <v>468</v>
      </c>
    </row>
    <row r="27" spans="1:14" ht="18" customHeight="1" x14ac:dyDescent="0.3">
      <c r="A27" s="61" t="s">
        <v>469</v>
      </c>
      <c r="B27" s="88"/>
      <c r="C27" s="93"/>
      <c r="D27" s="86"/>
      <c r="E27" s="93"/>
      <c r="F27" s="86"/>
      <c r="G27" s="93"/>
      <c r="H27" s="86"/>
      <c r="I27" s="93"/>
      <c r="J27" s="86"/>
      <c r="K27" s="93"/>
      <c r="L27" s="86"/>
      <c r="M27" s="93">
        <f>+C27-E27+G27</f>
        <v>0</v>
      </c>
      <c r="N27" s="167" t="s">
        <v>470</v>
      </c>
    </row>
    <row r="28" spans="1:14" ht="18" customHeight="1" x14ac:dyDescent="0.3">
      <c r="A28" s="61" t="s">
        <v>471</v>
      </c>
      <c r="B28" s="88"/>
      <c r="C28" s="93"/>
      <c r="D28" s="86"/>
      <c r="E28" s="93"/>
      <c r="F28" s="86"/>
      <c r="G28" s="93"/>
      <c r="H28" s="86"/>
      <c r="I28" s="93"/>
      <c r="J28" s="86"/>
      <c r="K28" s="93"/>
      <c r="L28" s="86"/>
      <c r="M28" s="93">
        <f>+C28-E28+G28</f>
        <v>0</v>
      </c>
      <c r="N28" s="167" t="s">
        <v>472</v>
      </c>
    </row>
    <row r="29" spans="1:14" ht="18" customHeight="1" x14ac:dyDescent="0.3">
      <c r="A29" s="61" t="s">
        <v>473</v>
      </c>
      <c r="B29" s="88"/>
      <c r="C29" s="93"/>
      <c r="D29" s="86"/>
      <c r="E29" s="93"/>
      <c r="F29" s="86"/>
      <c r="G29" s="93"/>
      <c r="H29" s="86"/>
      <c r="I29" s="93"/>
      <c r="J29" s="86"/>
      <c r="K29" s="93"/>
      <c r="L29" s="86"/>
      <c r="M29" s="93">
        <f>+C29-E29+G29</f>
        <v>0</v>
      </c>
      <c r="N29" s="167" t="s">
        <v>468</v>
      </c>
    </row>
    <row r="30" spans="1:14" ht="18" customHeight="1" x14ac:dyDescent="0.3">
      <c r="A30" s="61" t="s">
        <v>474</v>
      </c>
      <c r="B30" s="88"/>
      <c r="C30" s="85"/>
      <c r="D30" s="85"/>
      <c r="E30" s="85"/>
      <c r="F30" s="85"/>
      <c r="G30" s="85"/>
      <c r="H30" s="85"/>
      <c r="I30" s="85"/>
      <c r="J30" s="85"/>
      <c r="K30" s="85"/>
      <c r="L30" s="85"/>
      <c r="M30" s="85"/>
    </row>
    <row r="31" spans="1:14" ht="18" customHeight="1" x14ac:dyDescent="0.3">
      <c r="A31" s="61" t="s">
        <v>475</v>
      </c>
      <c r="B31" s="88"/>
      <c r="C31" s="93"/>
      <c r="D31" s="86"/>
      <c r="E31" s="93"/>
      <c r="F31" s="86"/>
      <c r="G31" s="93"/>
      <c r="H31" s="86"/>
      <c r="I31" s="93"/>
      <c r="J31" s="86"/>
      <c r="K31" s="93"/>
      <c r="L31" s="86"/>
      <c r="M31" s="93">
        <f>+C31-E31+G31</f>
        <v>0</v>
      </c>
      <c r="N31" s="167" t="s">
        <v>476</v>
      </c>
    </row>
    <row r="32" spans="1:14" ht="18" customHeight="1" x14ac:dyDescent="0.3">
      <c r="A32" s="61" t="s">
        <v>477</v>
      </c>
      <c r="B32" s="88"/>
      <c r="C32" s="93"/>
      <c r="D32" s="86"/>
      <c r="E32" s="93"/>
      <c r="F32" s="86"/>
      <c r="G32" s="93"/>
      <c r="H32" s="86"/>
      <c r="I32" s="93"/>
      <c r="J32" s="86"/>
      <c r="K32" s="93"/>
      <c r="L32" s="86"/>
      <c r="M32" s="93">
        <f>+C32-E32+G32</f>
        <v>0</v>
      </c>
      <c r="N32" s="167" t="s">
        <v>478</v>
      </c>
    </row>
    <row r="33" spans="1:16" ht="18" customHeight="1" x14ac:dyDescent="0.3">
      <c r="A33" s="61" t="s">
        <v>479</v>
      </c>
      <c r="B33" s="88"/>
      <c r="C33" s="93"/>
      <c r="D33" s="86"/>
      <c r="E33" s="93"/>
      <c r="F33" s="86"/>
      <c r="G33" s="93"/>
      <c r="H33" s="86"/>
      <c r="I33" s="93"/>
      <c r="J33" s="86"/>
      <c r="K33" s="93"/>
      <c r="L33" s="86"/>
      <c r="M33" s="93">
        <f>+C33-E33+G33</f>
        <v>0</v>
      </c>
      <c r="N33" s="167" t="s">
        <v>476</v>
      </c>
    </row>
    <row r="34" spans="1:16" ht="18" customHeight="1" x14ac:dyDescent="0.3">
      <c r="A34" s="61" t="s">
        <v>480</v>
      </c>
      <c r="B34" s="88"/>
      <c r="C34" s="93"/>
      <c r="D34" s="86"/>
      <c r="E34" s="93"/>
      <c r="F34" s="86"/>
      <c r="G34" s="93"/>
      <c r="H34" s="86"/>
      <c r="I34" s="93"/>
      <c r="J34" s="86"/>
      <c r="K34" s="93"/>
      <c r="L34" s="86"/>
      <c r="M34" s="93">
        <f>+C34-E34+G34</f>
        <v>0</v>
      </c>
      <c r="N34" s="167" t="s">
        <v>476</v>
      </c>
    </row>
    <row r="35" spans="1:16" ht="18" customHeight="1" x14ac:dyDescent="0.3">
      <c r="A35" s="61" t="s">
        <v>481</v>
      </c>
      <c r="B35" s="88"/>
      <c r="C35" s="85"/>
      <c r="D35" s="85"/>
      <c r="E35" s="85"/>
      <c r="F35" s="85"/>
      <c r="G35" s="85"/>
      <c r="H35" s="85"/>
      <c r="I35" s="85"/>
      <c r="J35" s="85"/>
      <c r="K35" s="85"/>
      <c r="L35" s="85"/>
      <c r="M35" s="85"/>
    </row>
    <row r="36" spans="1:16" ht="18" customHeight="1" x14ac:dyDescent="0.3">
      <c r="A36" s="61" t="s">
        <v>482</v>
      </c>
      <c r="B36" s="88"/>
      <c r="C36" s="93"/>
      <c r="D36" s="86"/>
      <c r="E36" s="93"/>
      <c r="F36" s="86"/>
      <c r="G36" s="93"/>
      <c r="H36" s="86"/>
      <c r="I36" s="93"/>
      <c r="J36" s="86"/>
      <c r="K36" s="93"/>
      <c r="L36" s="86"/>
      <c r="M36" s="93">
        <f t="shared" ref="M36:M57" si="1">+C36-E36+G36</f>
        <v>0</v>
      </c>
      <c r="N36" s="167" t="s">
        <v>483</v>
      </c>
    </row>
    <row r="37" spans="1:16" ht="18" customHeight="1" x14ac:dyDescent="0.3">
      <c r="A37" s="61" t="s">
        <v>484</v>
      </c>
      <c r="B37" s="88"/>
      <c r="C37" s="85"/>
      <c r="D37" s="85"/>
      <c r="E37" s="85"/>
      <c r="F37" s="85"/>
      <c r="G37" s="85"/>
      <c r="H37" s="85"/>
      <c r="I37" s="85"/>
      <c r="J37" s="85"/>
      <c r="K37" s="85"/>
      <c r="L37" s="85"/>
      <c r="M37" s="85"/>
    </row>
    <row r="38" spans="1:16" ht="18" customHeight="1" x14ac:dyDescent="0.3">
      <c r="A38" s="61" t="s">
        <v>485</v>
      </c>
      <c r="B38" s="88"/>
      <c r="C38" s="93"/>
      <c r="D38" s="86"/>
      <c r="E38" s="93"/>
      <c r="F38" s="86"/>
      <c r="G38" s="93"/>
      <c r="H38" s="86"/>
      <c r="I38" s="93"/>
      <c r="J38" s="86"/>
      <c r="K38" s="93"/>
      <c r="L38" s="86"/>
      <c r="M38" s="93">
        <f t="shared" si="1"/>
        <v>0</v>
      </c>
      <c r="N38" s="167" t="s">
        <v>486</v>
      </c>
    </row>
    <row r="39" spans="1:16" ht="18" customHeight="1" x14ac:dyDescent="0.3">
      <c r="A39" s="61" t="s">
        <v>487</v>
      </c>
      <c r="B39" s="88"/>
      <c r="C39" s="85"/>
      <c r="D39" s="85"/>
      <c r="E39" s="85"/>
      <c r="F39" s="85"/>
      <c r="G39" s="85"/>
      <c r="H39" s="85"/>
      <c r="I39" s="85"/>
      <c r="J39" s="85"/>
      <c r="K39" s="85"/>
      <c r="L39" s="85"/>
      <c r="M39" s="85"/>
    </row>
    <row r="40" spans="1:16" ht="18" customHeight="1" x14ac:dyDescent="0.3">
      <c r="A40" s="61" t="s">
        <v>488</v>
      </c>
      <c r="B40" s="88"/>
      <c r="C40" s="93"/>
      <c r="D40" s="86"/>
      <c r="E40" s="93"/>
      <c r="F40" s="86"/>
      <c r="G40" s="93"/>
      <c r="H40" s="86"/>
      <c r="I40" s="93"/>
      <c r="J40" s="86"/>
      <c r="K40" s="93"/>
      <c r="L40" s="86"/>
      <c r="M40" s="93">
        <f t="shared" si="1"/>
        <v>0</v>
      </c>
      <c r="N40" s="167" t="s">
        <v>478</v>
      </c>
    </row>
    <row r="41" spans="1:16" ht="18" customHeight="1" x14ac:dyDescent="0.3">
      <c r="A41" s="61" t="s">
        <v>489</v>
      </c>
      <c r="B41" s="88"/>
      <c r="C41" s="93"/>
      <c r="D41" s="86"/>
      <c r="E41" s="93"/>
      <c r="F41" s="86"/>
      <c r="G41" s="93"/>
      <c r="H41" s="86"/>
      <c r="I41" s="93"/>
      <c r="J41" s="86"/>
      <c r="K41" s="93"/>
      <c r="L41" s="86"/>
      <c r="M41" s="93">
        <f t="shared" si="1"/>
        <v>0</v>
      </c>
      <c r="N41" s="167" t="s">
        <v>478</v>
      </c>
    </row>
    <row r="42" spans="1:16" ht="18" customHeight="1" x14ac:dyDescent="0.3">
      <c r="A42" s="61" t="s">
        <v>490</v>
      </c>
      <c r="B42" s="88"/>
      <c r="C42" s="85"/>
      <c r="D42" s="85"/>
      <c r="E42" s="85"/>
      <c r="F42" s="85"/>
      <c r="G42" s="85"/>
      <c r="H42" s="85"/>
      <c r="I42" s="85"/>
      <c r="J42" s="85"/>
      <c r="K42" s="85"/>
      <c r="L42" s="85"/>
      <c r="M42" s="85"/>
    </row>
    <row r="43" spans="1:16" ht="18" customHeight="1" x14ac:dyDescent="0.3">
      <c r="A43" s="61" t="s">
        <v>491</v>
      </c>
      <c r="B43" s="88"/>
      <c r="C43" s="93"/>
      <c r="D43" s="86"/>
      <c r="E43" s="93"/>
      <c r="F43" s="86"/>
      <c r="G43" s="93"/>
      <c r="H43" s="86"/>
      <c r="I43" s="85"/>
      <c r="J43" s="86"/>
      <c r="K43" s="85"/>
      <c r="L43" s="86"/>
      <c r="M43" s="93">
        <f t="shared" si="1"/>
        <v>0</v>
      </c>
      <c r="N43" s="167" t="s">
        <v>486</v>
      </c>
    </row>
    <row r="44" spans="1:16" ht="18" customHeight="1" x14ac:dyDescent="0.3">
      <c r="A44" s="61" t="s">
        <v>492</v>
      </c>
      <c r="B44" s="88"/>
      <c r="C44" s="85"/>
      <c r="D44" s="85"/>
      <c r="E44" s="85"/>
      <c r="F44" s="85"/>
      <c r="G44" s="85"/>
      <c r="H44" s="85"/>
      <c r="I44" s="85"/>
      <c r="J44" s="85"/>
      <c r="K44" s="85"/>
      <c r="L44" s="85"/>
      <c r="M44" s="85"/>
      <c r="N44" s="188"/>
    </row>
    <row r="45" spans="1:16" ht="18" customHeight="1" x14ac:dyDescent="0.3">
      <c r="A45" s="61" t="s">
        <v>493</v>
      </c>
      <c r="B45" s="88"/>
      <c r="C45" s="93"/>
      <c r="D45" s="86"/>
      <c r="E45" s="93"/>
      <c r="F45" s="86"/>
      <c r="G45" s="93"/>
      <c r="H45" s="86"/>
      <c r="I45" s="93"/>
      <c r="J45" s="86"/>
      <c r="K45" s="93"/>
      <c r="L45" s="86"/>
      <c r="M45" s="93">
        <f>+C45-E45+G45</f>
        <v>0</v>
      </c>
      <c r="N45" s="167" t="s">
        <v>478</v>
      </c>
    </row>
    <row r="46" spans="1:16" ht="18" customHeight="1" x14ac:dyDescent="0.3">
      <c r="A46" s="61" t="s">
        <v>494</v>
      </c>
      <c r="B46" s="88"/>
      <c r="C46" s="85"/>
      <c r="D46" s="85"/>
      <c r="E46" s="85"/>
      <c r="F46" s="85"/>
      <c r="G46" s="85"/>
      <c r="H46" s="85"/>
      <c r="I46" s="85"/>
      <c r="J46" s="85"/>
      <c r="K46" s="85"/>
      <c r="L46" s="85"/>
      <c r="M46" s="85"/>
      <c r="N46" s="188"/>
      <c r="O46" s="88"/>
      <c r="P46" s="88"/>
    </row>
    <row r="47" spans="1:16" ht="18" customHeight="1" x14ac:dyDescent="0.3">
      <c r="A47" s="61" t="s">
        <v>495</v>
      </c>
      <c r="B47" s="88"/>
      <c r="C47" s="93"/>
      <c r="D47" s="86"/>
      <c r="E47" s="93"/>
      <c r="F47" s="86"/>
      <c r="G47" s="93"/>
      <c r="H47" s="86"/>
      <c r="I47" s="85"/>
      <c r="J47" s="86"/>
      <c r="K47" s="85"/>
      <c r="L47" s="86"/>
      <c r="M47" s="93">
        <f t="shared" si="1"/>
        <v>0</v>
      </c>
      <c r="N47" s="167" t="s">
        <v>478</v>
      </c>
    </row>
    <row r="48" spans="1:16" ht="18" customHeight="1" x14ac:dyDescent="0.3">
      <c r="A48" s="61" t="s">
        <v>496</v>
      </c>
      <c r="B48" s="88"/>
      <c r="C48" s="85"/>
      <c r="D48" s="85"/>
      <c r="E48" s="85"/>
      <c r="F48" s="85"/>
      <c r="G48" s="85"/>
      <c r="H48" s="85"/>
      <c r="I48" s="85"/>
      <c r="J48" s="85"/>
      <c r="K48" s="85"/>
      <c r="L48" s="85"/>
      <c r="M48" s="85"/>
    </row>
    <row r="49" spans="1:14" ht="18" customHeight="1" x14ac:dyDescent="0.3">
      <c r="A49" s="61" t="s">
        <v>497</v>
      </c>
      <c r="B49" s="88"/>
      <c r="C49" s="93"/>
      <c r="D49" s="86"/>
      <c r="E49" s="93"/>
      <c r="F49" s="86"/>
      <c r="G49" s="93"/>
      <c r="H49" s="86"/>
      <c r="I49" s="93"/>
      <c r="J49" s="86"/>
      <c r="K49" s="93"/>
      <c r="L49" s="86"/>
      <c r="M49" s="93">
        <f t="shared" si="1"/>
        <v>0</v>
      </c>
      <c r="N49" s="167" t="s">
        <v>476</v>
      </c>
    </row>
    <row r="50" spans="1:14" ht="18" customHeight="1" x14ac:dyDescent="0.3">
      <c r="A50" s="61" t="s">
        <v>498</v>
      </c>
      <c r="B50" s="88"/>
      <c r="C50" s="93"/>
      <c r="D50" s="86"/>
      <c r="E50" s="93"/>
      <c r="F50" s="86"/>
      <c r="G50" s="93"/>
      <c r="H50" s="86"/>
      <c r="I50" s="93"/>
      <c r="J50" s="86"/>
      <c r="K50" s="93"/>
      <c r="L50" s="86"/>
      <c r="M50" s="93">
        <f>+C50-E50+G50</f>
        <v>0</v>
      </c>
      <c r="N50" s="167" t="s">
        <v>486</v>
      </c>
    </row>
    <row r="51" spans="1:14" ht="18" customHeight="1" x14ac:dyDescent="0.3">
      <c r="A51" s="61" t="s">
        <v>499</v>
      </c>
      <c r="B51" s="88"/>
      <c r="C51" s="93"/>
      <c r="D51" s="86"/>
      <c r="E51" s="93"/>
      <c r="F51" s="86"/>
      <c r="G51" s="93"/>
      <c r="H51" s="86"/>
      <c r="I51" s="93"/>
      <c r="J51" s="86"/>
      <c r="K51" s="93"/>
      <c r="L51" s="86"/>
      <c r="M51" s="93">
        <f>+C51-E51+G51</f>
        <v>0</v>
      </c>
      <c r="N51" s="190" t="s">
        <v>476</v>
      </c>
    </row>
    <row r="52" spans="1:14" ht="18" customHeight="1" x14ac:dyDescent="0.3">
      <c r="A52" s="92" t="s">
        <v>500</v>
      </c>
      <c r="B52" s="88"/>
      <c r="C52" s="93"/>
      <c r="D52" s="86"/>
      <c r="E52" s="93"/>
      <c r="F52" s="86"/>
      <c r="G52" s="93"/>
      <c r="H52" s="86"/>
      <c r="I52" s="93"/>
      <c r="J52" s="86"/>
      <c r="K52" s="93"/>
      <c r="L52" s="86"/>
      <c r="M52" s="93">
        <f>+C52-E52+G52</f>
        <v>0</v>
      </c>
      <c r="N52" s="180" t="s">
        <v>501</v>
      </c>
    </row>
    <row r="53" spans="1:14" ht="18" customHeight="1" x14ac:dyDescent="0.3">
      <c r="A53" s="92" t="s">
        <v>502</v>
      </c>
      <c r="B53" s="88"/>
      <c r="C53" s="93"/>
      <c r="D53" s="86"/>
      <c r="E53" s="93"/>
      <c r="F53" s="86"/>
      <c r="G53" s="93"/>
      <c r="H53" s="86"/>
      <c r="I53" s="93"/>
      <c r="J53" s="86"/>
      <c r="K53" s="93"/>
      <c r="L53" s="86"/>
      <c r="M53" s="93">
        <f>+C53-E53+G53</f>
        <v>0</v>
      </c>
      <c r="N53" s="180" t="s">
        <v>503</v>
      </c>
    </row>
    <row r="54" spans="1:14" ht="18" customHeight="1" x14ac:dyDescent="0.3">
      <c r="A54" s="61" t="s">
        <v>504</v>
      </c>
      <c r="B54" s="88"/>
      <c r="C54" s="93"/>
      <c r="D54" s="86"/>
      <c r="E54" s="93"/>
      <c r="F54" s="86"/>
      <c r="G54" s="93"/>
      <c r="H54" s="86"/>
      <c r="I54" s="93"/>
      <c r="J54" s="86"/>
      <c r="K54" s="93"/>
      <c r="L54" s="86"/>
      <c r="M54" s="93">
        <f t="shared" si="1"/>
        <v>0</v>
      </c>
      <c r="N54" s="190" t="s">
        <v>505</v>
      </c>
    </row>
    <row r="55" spans="1:14" ht="18" customHeight="1" x14ac:dyDescent="0.3">
      <c r="A55" s="61" t="s">
        <v>506</v>
      </c>
      <c r="B55" s="88"/>
      <c r="C55" s="93"/>
      <c r="D55" s="86"/>
      <c r="E55" s="93"/>
      <c r="F55" s="86"/>
      <c r="G55" s="93"/>
      <c r="H55" s="86"/>
      <c r="I55" s="93"/>
      <c r="J55" s="86"/>
      <c r="K55" s="93"/>
      <c r="L55" s="86"/>
      <c r="M55" s="93">
        <f t="shared" si="1"/>
        <v>0</v>
      </c>
      <c r="N55" s="190" t="s">
        <v>476</v>
      </c>
    </row>
    <row r="56" spans="1:14" ht="18" customHeight="1" x14ac:dyDescent="0.3">
      <c r="A56" s="61" t="s">
        <v>507</v>
      </c>
      <c r="B56" s="88"/>
      <c r="C56" s="93"/>
      <c r="D56" s="86"/>
      <c r="E56" s="93"/>
      <c r="F56" s="86"/>
      <c r="G56" s="93"/>
      <c r="H56" s="86"/>
      <c r="I56" s="93"/>
      <c r="J56" s="86"/>
      <c r="K56" s="93"/>
      <c r="L56" s="86"/>
      <c r="M56" s="93">
        <f t="shared" si="1"/>
        <v>0</v>
      </c>
      <c r="N56" s="190" t="s">
        <v>476</v>
      </c>
    </row>
    <row r="57" spans="1:14" ht="18" customHeight="1" x14ac:dyDescent="0.3">
      <c r="A57" s="61" t="s">
        <v>508</v>
      </c>
      <c r="B57" s="88"/>
      <c r="C57" s="93"/>
      <c r="D57" s="86"/>
      <c r="E57" s="93"/>
      <c r="F57" s="86"/>
      <c r="G57" s="93"/>
      <c r="H57" s="86"/>
      <c r="I57" s="93"/>
      <c r="J57" s="86"/>
      <c r="K57" s="93"/>
      <c r="L57" s="86"/>
      <c r="M57" s="93">
        <f t="shared" si="1"/>
        <v>0</v>
      </c>
      <c r="N57" s="190" t="s">
        <v>509</v>
      </c>
    </row>
    <row r="58" spans="1:14" ht="18" customHeight="1" x14ac:dyDescent="0.3">
      <c r="B58" s="88"/>
      <c r="C58" s="85"/>
      <c r="D58" s="86"/>
      <c r="E58" s="85"/>
      <c r="F58" s="86"/>
      <c r="G58" s="85"/>
      <c r="H58" s="86"/>
      <c r="I58" s="85"/>
      <c r="J58" s="86"/>
      <c r="K58" s="85"/>
      <c r="L58" s="86"/>
      <c r="M58" s="85"/>
      <c r="N58" s="190"/>
    </row>
    <row r="59" spans="1:14" ht="18" customHeight="1" x14ac:dyDescent="0.3">
      <c r="A59" s="61" t="s">
        <v>510</v>
      </c>
      <c r="B59" s="88"/>
      <c r="C59" s="89">
        <f>SUM(C26:C57)</f>
        <v>0</v>
      </c>
      <c r="D59" s="86"/>
      <c r="E59" s="89">
        <f>SUM(E26:E57)</f>
        <v>0</v>
      </c>
      <c r="F59" s="86"/>
      <c r="G59" s="89">
        <f>SUM(G26:G57)</f>
        <v>0</v>
      </c>
      <c r="H59" s="86"/>
      <c r="I59" s="85"/>
      <c r="J59" s="86"/>
      <c r="K59" s="85"/>
      <c r="L59" s="86"/>
      <c r="M59" s="89">
        <f>SUM(M26:M57)</f>
        <v>0</v>
      </c>
      <c r="N59" s="190"/>
    </row>
    <row r="60" spans="1:14" ht="18" customHeight="1" x14ac:dyDescent="0.3">
      <c r="B60" s="88"/>
      <c r="C60" s="85"/>
      <c r="D60" s="86"/>
      <c r="E60" s="85"/>
      <c r="F60" s="86"/>
      <c r="G60" s="85"/>
      <c r="H60" s="86"/>
      <c r="I60" s="85"/>
      <c r="J60" s="86"/>
      <c r="K60" s="85"/>
      <c r="L60" s="86"/>
      <c r="M60" s="85"/>
    </row>
    <row r="61" spans="1:14" ht="18" customHeight="1" x14ac:dyDescent="0.3">
      <c r="A61" s="61" t="s">
        <v>511</v>
      </c>
      <c r="C61" s="85"/>
      <c r="D61" s="85"/>
      <c r="E61" s="85"/>
      <c r="F61" s="85"/>
      <c r="G61" s="85"/>
      <c r="H61" s="85"/>
      <c r="I61" s="85"/>
      <c r="J61" s="85"/>
      <c r="K61" s="85"/>
      <c r="L61" s="85"/>
      <c r="M61" s="85"/>
    </row>
    <row r="62" spans="1:14" ht="18" customHeight="1" x14ac:dyDescent="0.3">
      <c r="A62" s="61" t="s">
        <v>512</v>
      </c>
      <c r="C62" s="85"/>
      <c r="D62" s="85"/>
      <c r="E62" s="85"/>
      <c r="F62" s="85"/>
      <c r="G62" s="85"/>
      <c r="H62" s="85"/>
      <c r="I62" s="85"/>
      <c r="J62" s="85"/>
      <c r="K62" s="85"/>
      <c r="L62" s="85"/>
      <c r="M62" s="85"/>
    </row>
    <row r="63" spans="1:14" ht="18" customHeight="1" x14ac:dyDescent="0.3">
      <c r="A63" s="61" t="s">
        <v>513</v>
      </c>
      <c r="C63" s="93"/>
      <c r="D63" s="86"/>
      <c r="E63" s="93"/>
      <c r="F63" s="86"/>
      <c r="G63" s="93"/>
      <c r="H63" s="86"/>
      <c r="I63" s="93"/>
      <c r="J63" s="86"/>
      <c r="K63" s="93"/>
      <c r="L63" s="86"/>
      <c r="M63" s="93">
        <f t="shared" ref="M63:M68" si="2">+C63-E63+G63</f>
        <v>0</v>
      </c>
      <c r="N63" s="167" t="s">
        <v>514</v>
      </c>
    </row>
    <row r="64" spans="1:14" ht="18" customHeight="1" x14ac:dyDescent="0.3">
      <c r="A64" s="61" t="s">
        <v>515</v>
      </c>
      <c r="C64" s="93"/>
      <c r="D64" s="86"/>
      <c r="E64" s="93"/>
      <c r="F64" s="86"/>
      <c r="G64" s="93"/>
      <c r="H64" s="86"/>
      <c r="I64" s="93"/>
      <c r="J64" s="86"/>
      <c r="K64" s="93"/>
      <c r="L64" s="86"/>
      <c r="M64" s="93">
        <f t="shared" si="2"/>
        <v>0</v>
      </c>
      <c r="N64" s="167" t="s">
        <v>514</v>
      </c>
    </row>
    <row r="65" spans="1:14" ht="18" customHeight="1" x14ac:dyDescent="0.3">
      <c r="A65" s="61" t="s">
        <v>516</v>
      </c>
      <c r="C65" s="93"/>
      <c r="D65" s="86"/>
      <c r="E65" s="93"/>
      <c r="F65" s="86"/>
      <c r="G65" s="93"/>
      <c r="H65" s="86"/>
      <c r="I65" s="93"/>
      <c r="J65" s="86"/>
      <c r="K65" s="93"/>
      <c r="L65" s="86"/>
      <c r="M65" s="93">
        <f t="shared" si="2"/>
        <v>0</v>
      </c>
      <c r="N65" s="167" t="s">
        <v>514</v>
      </c>
    </row>
    <row r="66" spans="1:14" ht="18" customHeight="1" x14ac:dyDescent="0.3">
      <c r="A66" s="61" t="s">
        <v>517</v>
      </c>
      <c r="C66" s="93"/>
      <c r="D66" s="86"/>
      <c r="E66" s="93"/>
      <c r="F66" s="86"/>
      <c r="G66" s="93"/>
      <c r="H66" s="86"/>
      <c r="I66" s="93"/>
      <c r="J66" s="86"/>
      <c r="K66" s="93"/>
      <c r="L66" s="86"/>
      <c r="M66" s="93">
        <f t="shared" si="2"/>
        <v>0</v>
      </c>
      <c r="N66" s="167" t="s">
        <v>514</v>
      </c>
    </row>
    <row r="67" spans="1:14" ht="18" customHeight="1" x14ac:dyDescent="0.3">
      <c r="A67" s="61" t="s">
        <v>518</v>
      </c>
      <c r="C67" s="93"/>
      <c r="D67" s="86"/>
      <c r="E67" s="93"/>
      <c r="F67" s="86"/>
      <c r="G67" s="93"/>
      <c r="H67" s="86"/>
      <c r="I67" s="93"/>
      <c r="J67" s="86"/>
      <c r="K67" s="93"/>
      <c r="L67" s="86"/>
      <c r="M67" s="93">
        <f t="shared" si="2"/>
        <v>0</v>
      </c>
      <c r="N67" s="167" t="s">
        <v>514</v>
      </c>
    </row>
    <row r="68" spans="1:14" ht="18" customHeight="1" x14ac:dyDescent="0.3">
      <c r="A68" s="61" t="s">
        <v>519</v>
      </c>
      <c r="C68" s="93"/>
      <c r="D68" s="86"/>
      <c r="E68" s="93"/>
      <c r="F68" s="86"/>
      <c r="G68" s="93"/>
      <c r="H68" s="86"/>
      <c r="I68" s="93"/>
      <c r="J68" s="86"/>
      <c r="K68" s="93"/>
      <c r="L68" s="86"/>
      <c r="M68" s="93">
        <f t="shared" si="2"/>
        <v>0</v>
      </c>
      <c r="N68" s="167" t="s">
        <v>514</v>
      </c>
    </row>
    <row r="69" spans="1:14" ht="18" customHeight="1" x14ac:dyDescent="0.3">
      <c r="A69" s="61" t="s">
        <v>520</v>
      </c>
      <c r="C69" s="86"/>
      <c r="D69" s="86"/>
      <c r="E69" s="86"/>
      <c r="F69" s="86"/>
      <c r="G69" s="86"/>
      <c r="H69" s="86"/>
      <c r="I69" s="86"/>
      <c r="J69" s="86"/>
      <c r="K69" s="86"/>
      <c r="L69" s="86"/>
      <c r="M69" s="86"/>
    </row>
    <row r="70" spans="1:14" ht="18" customHeight="1" x14ac:dyDescent="0.3">
      <c r="A70" s="61" t="s">
        <v>521</v>
      </c>
      <c r="C70" s="93"/>
      <c r="D70" s="86"/>
      <c r="E70" s="93"/>
      <c r="F70" s="86"/>
      <c r="G70" s="93"/>
      <c r="H70" s="86"/>
      <c r="I70" s="93"/>
      <c r="J70" s="86"/>
      <c r="K70" s="93"/>
      <c r="L70" s="86"/>
      <c r="M70" s="93">
        <f>+C70-E70+G70</f>
        <v>0</v>
      </c>
      <c r="N70" s="167" t="s">
        <v>522</v>
      </c>
    </row>
    <row r="71" spans="1:14" ht="18" customHeight="1" x14ac:dyDescent="0.3">
      <c r="A71" s="61" t="s">
        <v>523</v>
      </c>
      <c r="C71" s="93"/>
      <c r="D71" s="86"/>
      <c r="E71" s="93"/>
      <c r="F71" s="86"/>
      <c r="G71" s="93"/>
      <c r="H71" s="86"/>
      <c r="I71" s="93"/>
      <c r="J71" s="86"/>
      <c r="K71" s="93"/>
      <c r="L71" s="86"/>
      <c r="M71" s="93">
        <f>+C71-E71+G71</f>
        <v>0</v>
      </c>
      <c r="N71" s="167" t="s">
        <v>522</v>
      </c>
    </row>
    <row r="72" spans="1:14" ht="18" customHeight="1" x14ac:dyDescent="0.3">
      <c r="A72" s="61" t="s">
        <v>524</v>
      </c>
      <c r="C72" s="93"/>
      <c r="D72" s="86"/>
      <c r="E72" s="93"/>
      <c r="F72" s="86"/>
      <c r="G72" s="93"/>
      <c r="H72" s="86"/>
      <c r="I72" s="93"/>
      <c r="J72" s="86"/>
      <c r="K72" s="93"/>
      <c r="L72" s="86"/>
      <c r="M72" s="93">
        <f>+C72-E72+G72</f>
        <v>0</v>
      </c>
      <c r="N72" s="167" t="s">
        <v>522</v>
      </c>
    </row>
    <row r="73" spans="1:14" ht="18" customHeight="1" x14ac:dyDescent="0.3">
      <c r="A73" s="61" t="s">
        <v>525</v>
      </c>
      <c r="C73" s="93"/>
      <c r="D73" s="86"/>
      <c r="E73" s="93"/>
      <c r="F73" s="86"/>
      <c r="G73" s="93"/>
      <c r="H73" s="86"/>
      <c r="I73" s="93"/>
      <c r="J73" s="86"/>
      <c r="K73" s="93"/>
      <c r="L73" s="86"/>
      <c r="M73" s="93">
        <f>+C73-E73+G73</f>
        <v>0</v>
      </c>
      <c r="N73" s="167" t="s">
        <v>522</v>
      </c>
    </row>
    <row r="74" spans="1:14" ht="18" customHeight="1" x14ac:dyDescent="0.3">
      <c r="A74" s="61" t="s">
        <v>526</v>
      </c>
      <c r="C74" s="86"/>
      <c r="D74" s="86"/>
      <c r="E74" s="86"/>
      <c r="F74" s="86"/>
      <c r="G74" s="86"/>
      <c r="H74" s="86"/>
      <c r="I74" s="86"/>
      <c r="J74" s="86"/>
      <c r="K74" s="86"/>
      <c r="L74" s="86"/>
      <c r="M74" s="86"/>
    </row>
    <row r="75" spans="1:14" ht="18" customHeight="1" x14ac:dyDescent="0.3">
      <c r="A75" s="82" t="s">
        <v>527</v>
      </c>
      <c r="C75" s="93"/>
      <c r="D75" s="86"/>
      <c r="E75" s="93"/>
      <c r="F75" s="86"/>
      <c r="G75" s="93"/>
      <c r="H75" s="86"/>
      <c r="I75" s="93"/>
      <c r="J75" s="86"/>
      <c r="K75" s="93"/>
      <c r="L75" s="86"/>
      <c r="M75" s="93">
        <f>+C75-E75+G75</f>
        <v>0</v>
      </c>
      <c r="N75" s="167" t="s">
        <v>528</v>
      </c>
    </row>
    <row r="76" spans="1:14" ht="18" customHeight="1" x14ac:dyDescent="0.3">
      <c r="A76" s="61" t="s">
        <v>529</v>
      </c>
      <c r="C76" s="93"/>
      <c r="D76" s="86"/>
      <c r="E76" s="93"/>
      <c r="F76" s="86"/>
      <c r="G76" s="93"/>
      <c r="H76" s="86"/>
      <c r="I76" s="93"/>
      <c r="J76" s="86"/>
      <c r="K76" s="93"/>
      <c r="L76" s="86"/>
      <c r="M76" s="93">
        <f>+C76-E76+G76</f>
        <v>0</v>
      </c>
      <c r="N76" s="167" t="s">
        <v>528</v>
      </c>
    </row>
    <row r="77" spans="1:14" ht="18" customHeight="1" x14ac:dyDescent="0.3">
      <c r="A77" s="61" t="s">
        <v>530</v>
      </c>
      <c r="C77" s="86"/>
      <c r="D77" s="86"/>
      <c r="E77" s="86"/>
      <c r="F77" s="86"/>
      <c r="G77" s="86"/>
      <c r="H77" s="86"/>
      <c r="I77" s="86"/>
      <c r="J77" s="86"/>
      <c r="K77" s="86"/>
      <c r="L77" s="86"/>
      <c r="M77" s="86"/>
    </row>
    <row r="78" spans="1:14" ht="18" customHeight="1" x14ac:dyDescent="0.3">
      <c r="A78" s="61" t="s">
        <v>531</v>
      </c>
      <c r="C78" s="93"/>
      <c r="D78" s="85"/>
      <c r="E78" s="93"/>
      <c r="F78" s="85"/>
      <c r="G78" s="93"/>
      <c r="H78" s="85"/>
      <c r="I78" s="93"/>
      <c r="J78" s="93"/>
      <c r="K78" s="93"/>
      <c r="L78" s="93"/>
      <c r="M78" s="93">
        <f t="shared" ref="M78:M83" si="3">+C78-E78+G78</f>
        <v>0</v>
      </c>
      <c r="N78" s="167" t="s">
        <v>532</v>
      </c>
    </row>
    <row r="79" spans="1:14" ht="18" customHeight="1" x14ac:dyDescent="0.3">
      <c r="A79" s="61" t="s">
        <v>533</v>
      </c>
      <c r="C79" s="93"/>
      <c r="D79" s="86"/>
      <c r="E79" s="93"/>
      <c r="F79" s="86"/>
      <c r="G79" s="93"/>
      <c r="H79" s="86"/>
      <c r="I79" s="93"/>
      <c r="J79" s="86"/>
      <c r="K79" s="93"/>
      <c r="L79" s="86"/>
      <c r="M79" s="93">
        <f t="shared" si="3"/>
        <v>0</v>
      </c>
      <c r="N79" s="167" t="s">
        <v>532</v>
      </c>
    </row>
    <row r="80" spans="1:14" ht="18" customHeight="1" x14ac:dyDescent="0.3">
      <c r="A80" s="61" t="s">
        <v>534</v>
      </c>
      <c r="C80" s="93"/>
      <c r="D80" s="86"/>
      <c r="E80" s="93"/>
      <c r="F80" s="86"/>
      <c r="G80" s="93"/>
      <c r="H80" s="86"/>
      <c r="I80" s="93"/>
      <c r="J80" s="86"/>
      <c r="K80" s="93"/>
      <c r="L80" s="86"/>
      <c r="M80" s="93">
        <f t="shared" si="3"/>
        <v>0</v>
      </c>
      <c r="N80" s="167" t="s">
        <v>514</v>
      </c>
    </row>
    <row r="81" spans="1:14" ht="18" customHeight="1" x14ac:dyDescent="0.3">
      <c r="A81" s="61" t="s">
        <v>535</v>
      </c>
      <c r="C81" s="93"/>
      <c r="D81" s="86"/>
      <c r="E81" s="93"/>
      <c r="F81" s="86"/>
      <c r="G81" s="93"/>
      <c r="H81" s="86"/>
      <c r="I81" s="93"/>
      <c r="J81" s="86"/>
      <c r="K81" s="93"/>
      <c r="L81" s="86"/>
      <c r="M81" s="93">
        <f t="shared" si="3"/>
        <v>0</v>
      </c>
      <c r="N81" s="167" t="s">
        <v>532</v>
      </c>
    </row>
    <row r="82" spans="1:14" ht="18" customHeight="1" x14ac:dyDescent="0.3">
      <c r="A82" s="61" t="s">
        <v>536</v>
      </c>
      <c r="C82" s="93"/>
      <c r="D82" s="86"/>
      <c r="E82" s="93"/>
      <c r="F82" s="86"/>
      <c r="G82" s="93"/>
      <c r="H82" s="86"/>
      <c r="I82" s="93"/>
      <c r="J82" s="86"/>
      <c r="K82" s="93"/>
      <c r="L82" s="86"/>
      <c r="M82" s="93">
        <f t="shared" si="3"/>
        <v>0</v>
      </c>
      <c r="N82" s="167" t="s">
        <v>532</v>
      </c>
    </row>
    <row r="83" spans="1:14" ht="18" customHeight="1" x14ac:dyDescent="0.3">
      <c r="A83" s="61" t="s">
        <v>537</v>
      </c>
      <c r="C83" s="94"/>
      <c r="D83" s="86"/>
      <c r="E83" s="94"/>
      <c r="F83" s="86"/>
      <c r="G83" s="94"/>
      <c r="H83" s="86"/>
      <c r="I83" s="85"/>
      <c r="J83" s="86"/>
      <c r="K83" s="85"/>
      <c r="L83" s="86"/>
      <c r="M83" s="93">
        <f t="shared" si="3"/>
        <v>0</v>
      </c>
      <c r="N83" s="167" t="s">
        <v>532</v>
      </c>
    </row>
    <row r="84" spans="1:14" ht="18" customHeight="1" x14ac:dyDescent="0.3">
      <c r="A84" s="61" t="s">
        <v>538</v>
      </c>
      <c r="C84" s="85"/>
      <c r="D84" s="85"/>
      <c r="E84" s="85"/>
      <c r="F84" s="85"/>
      <c r="G84" s="85"/>
      <c r="H84" s="85"/>
      <c r="I84" s="85"/>
      <c r="J84" s="85"/>
      <c r="K84" s="85"/>
      <c r="L84" s="85"/>
      <c r="M84" s="85"/>
      <c r="N84" s="188"/>
    </row>
    <row r="85" spans="1:14" ht="18" customHeight="1" x14ac:dyDescent="0.3">
      <c r="A85" s="61" t="s">
        <v>539</v>
      </c>
      <c r="C85" s="93"/>
      <c r="D85" s="86"/>
      <c r="E85" s="93"/>
      <c r="F85" s="86"/>
      <c r="G85" s="93"/>
      <c r="H85" s="86"/>
      <c r="I85" s="93"/>
      <c r="J85" s="86"/>
      <c r="K85" s="93"/>
      <c r="L85" s="86"/>
      <c r="M85" s="93">
        <f t="shared" ref="M85:M95" si="4">+C85-E85+G85</f>
        <v>0</v>
      </c>
      <c r="N85" s="167" t="s">
        <v>532</v>
      </c>
    </row>
    <row r="86" spans="1:14" ht="18" customHeight="1" x14ac:dyDescent="0.3">
      <c r="A86" s="61" t="s">
        <v>540</v>
      </c>
      <c r="C86" s="93"/>
      <c r="D86" s="86"/>
      <c r="E86" s="93"/>
      <c r="F86" s="86"/>
      <c r="G86" s="93"/>
      <c r="H86" s="86"/>
      <c r="I86" s="93"/>
      <c r="J86" s="86"/>
      <c r="K86" s="93"/>
      <c r="L86" s="86"/>
      <c r="M86" s="93">
        <f t="shared" si="4"/>
        <v>0</v>
      </c>
      <c r="N86" s="167" t="s">
        <v>532</v>
      </c>
    </row>
    <row r="87" spans="1:14" ht="18" customHeight="1" x14ac:dyDescent="0.3">
      <c r="A87" s="61" t="s">
        <v>541</v>
      </c>
      <c r="C87" s="93"/>
      <c r="D87" s="86"/>
      <c r="E87" s="93"/>
      <c r="F87" s="86"/>
      <c r="G87" s="93"/>
      <c r="H87" s="86"/>
      <c r="I87" s="93"/>
      <c r="J87" s="86"/>
      <c r="K87" s="93"/>
      <c r="L87" s="86"/>
      <c r="M87" s="93">
        <f t="shared" si="4"/>
        <v>0</v>
      </c>
      <c r="N87" s="167" t="s">
        <v>532</v>
      </c>
    </row>
    <row r="88" spans="1:14" ht="18" customHeight="1" x14ac:dyDescent="0.3">
      <c r="A88" s="61" t="s">
        <v>542</v>
      </c>
      <c r="C88" s="93"/>
      <c r="D88" s="86"/>
      <c r="E88" s="93"/>
      <c r="F88" s="86"/>
      <c r="G88" s="93"/>
      <c r="H88" s="86"/>
      <c r="I88" s="93"/>
      <c r="J88" s="86"/>
      <c r="K88" s="93"/>
      <c r="L88" s="86"/>
      <c r="M88" s="93">
        <f t="shared" si="4"/>
        <v>0</v>
      </c>
      <c r="N88" s="167" t="s">
        <v>532</v>
      </c>
    </row>
    <row r="89" spans="1:14" ht="18" customHeight="1" x14ac:dyDescent="0.3">
      <c r="A89" s="61" t="s">
        <v>543</v>
      </c>
      <c r="C89" s="93"/>
      <c r="D89" s="86"/>
      <c r="E89" s="93"/>
      <c r="F89" s="86"/>
      <c r="G89" s="93"/>
      <c r="H89" s="86"/>
      <c r="I89" s="93"/>
      <c r="J89" s="86"/>
      <c r="K89" s="93"/>
      <c r="L89" s="86"/>
      <c r="M89" s="93">
        <f t="shared" si="4"/>
        <v>0</v>
      </c>
      <c r="N89" s="167" t="s">
        <v>532</v>
      </c>
    </row>
    <row r="90" spans="1:14" ht="18" customHeight="1" x14ac:dyDescent="0.3">
      <c r="A90" s="61" t="s">
        <v>544</v>
      </c>
      <c r="C90" s="93"/>
      <c r="D90" s="86"/>
      <c r="E90" s="93"/>
      <c r="F90" s="86"/>
      <c r="G90" s="93"/>
      <c r="H90" s="86"/>
      <c r="I90" s="93"/>
      <c r="J90" s="86"/>
      <c r="K90" s="93"/>
      <c r="L90" s="86"/>
      <c r="M90" s="93">
        <f t="shared" si="4"/>
        <v>0</v>
      </c>
      <c r="N90" s="167" t="s">
        <v>532</v>
      </c>
    </row>
    <row r="91" spans="1:14" ht="18" customHeight="1" x14ac:dyDescent="0.3">
      <c r="A91" s="61" t="s">
        <v>545</v>
      </c>
      <c r="C91" s="94"/>
      <c r="D91" s="86"/>
      <c r="E91" s="94"/>
      <c r="F91" s="86"/>
      <c r="G91" s="94"/>
      <c r="H91" s="86"/>
      <c r="I91" s="93"/>
      <c r="J91" s="86"/>
      <c r="K91" s="93"/>
      <c r="L91" s="86"/>
      <c r="M91" s="93">
        <f t="shared" si="4"/>
        <v>0</v>
      </c>
      <c r="N91" s="167" t="s">
        <v>532</v>
      </c>
    </row>
    <row r="92" spans="1:14" ht="18" customHeight="1" x14ac:dyDescent="0.3">
      <c r="A92" s="61" t="s">
        <v>546</v>
      </c>
      <c r="C92" s="94"/>
      <c r="D92" s="85"/>
      <c r="E92" s="94"/>
      <c r="F92" s="85"/>
      <c r="G92" s="94"/>
      <c r="H92" s="86"/>
      <c r="I92" s="93"/>
      <c r="J92" s="86"/>
      <c r="K92" s="93"/>
      <c r="L92" s="86"/>
      <c r="M92" s="93">
        <f t="shared" si="4"/>
        <v>0</v>
      </c>
      <c r="N92" s="167" t="s">
        <v>547</v>
      </c>
    </row>
    <row r="93" spans="1:14" ht="18" customHeight="1" x14ac:dyDescent="0.3">
      <c r="A93" s="61" t="s">
        <v>548</v>
      </c>
      <c r="C93" s="93"/>
      <c r="D93" s="85"/>
      <c r="E93" s="93"/>
      <c r="F93" s="85"/>
      <c r="G93" s="93"/>
      <c r="H93" s="86"/>
      <c r="I93" s="93"/>
      <c r="J93" s="86"/>
      <c r="K93" s="93"/>
      <c r="L93" s="86"/>
      <c r="M93" s="93">
        <f t="shared" si="4"/>
        <v>0</v>
      </c>
      <c r="N93" s="167" t="s">
        <v>549</v>
      </c>
    </row>
    <row r="94" spans="1:14" ht="18" customHeight="1" x14ac:dyDescent="0.3">
      <c r="A94" s="61" t="s">
        <v>550</v>
      </c>
      <c r="C94" s="93"/>
      <c r="D94" s="86"/>
      <c r="E94" s="93"/>
      <c r="F94" s="86"/>
      <c r="G94" s="93"/>
      <c r="H94" s="86"/>
      <c r="I94" s="93"/>
      <c r="J94" s="86"/>
      <c r="K94" s="93"/>
      <c r="L94" s="86"/>
      <c r="M94" s="93">
        <f t="shared" si="4"/>
        <v>0</v>
      </c>
      <c r="N94" s="167" t="s">
        <v>551</v>
      </c>
    </row>
    <row r="95" spans="1:14" ht="18" customHeight="1" x14ac:dyDescent="0.3">
      <c r="A95" s="61" t="s">
        <v>552</v>
      </c>
      <c r="C95" s="93"/>
      <c r="D95" s="86"/>
      <c r="E95" s="93"/>
      <c r="F95" s="86"/>
      <c r="G95" s="93"/>
      <c r="H95" s="86"/>
      <c r="I95" s="93"/>
      <c r="J95" s="86"/>
      <c r="K95" s="93"/>
      <c r="L95" s="86"/>
      <c r="M95" s="93">
        <f t="shared" si="4"/>
        <v>0</v>
      </c>
      <c r="N95" s="167" t="s">
        <v>553</v>
      </c>
    </row>
    <row r="96" spans="1:14" ht="18" customHeight="1" x14ac:dyDescent="0.3">
      <c r="C96" s="85"/>
      <c r="D96" s="86"/>
      <c r="E96" s="85"/>
      <c r="F96" s="86"/>
      <c r="G96" s="85"/>
      <c r="H96" s="86"/>
      <c r="I96" s="85"/>
      <c r="J96" s="86"/>
      <c r="K96" s="85"/>
      <c r="L96" s="86"/>
      <c r="M96" s="85"/>
    </row>
    <row r="97" spans="1:14" ht="18" customHeight="1" x14ac:dyDescent="0.3">
      <c r="A97" s="61" t="s">
        <v>554</v>
      </c>
      <c r="C97" s="89">
        <f>SUM(C63:C95)</f>
        <v>0</v>
      </c>
      <c r="D97" s="86"/>
      <c r="E97" s="89">
        <f>SUM(E63:E95)</f>
        <v>0</v>
      </c>
      <c r="F97" s="86"/>
      <c r="G97" s="89">
        <f>SUM(G63:G95)</f>
        <v>0</v>
      </c>
      <c r="H97" s="86"/>
      <c r="I97" s="85"/>
      <c r="J97" s="86"/>
      <c r="K97" s="85"/>
      <c r="L97" s="86"/>
      <c r="M97" s="89">
        <f>SUM(M63:M95)</f>
        <v>0</v>
      </c>
    </row>
    <row r="98" spans="1:14" ht="18" customHeight="1" x14ac:dyDescent="0.3">
      <c r="C98" s="85"/>
      <c r="D98" s="86"/>
      <c r="E98" s="85"/>
      <c r="F98" s="86"/>
      <c r="G98" s="85"/>
      <c r="H98" s="86"/>
      <c r="I98" s="85"/>
      <c r="J98" s="86"/>
      <c r="K98" s="85"/>
      <c r="L98" s="86"/>
      <c r="M98" s="85"/>
    </row>
    <row r="99" spans="1:14" ht="18" customHeight="1" x14ac:dyDescent="0.3">
      <c r="A99" s="61" t="s">
        <v>555</v>
      </c>
      <c r="C99" s="86"/>
      <c r="D99" s="86"/>
      <c r="E99" s="86"/>
      <c r="F99" s="86"/>
      <c r="G99" s="86"/>
      <c r="H99" s="86"/>
      <c r="I99" s="86"/>
      <c r="J99" s="86"/>
      <c r="K99" s="86"/>
      <c r="L99" s="86"/>
      <c r="M99" s="86"/>
    </row>
    <row r="100" spans="1:14" ht="18" customHeight="1" x14ac:dyDescent="0.3">
      <c r="A100" s="61" t="s">
        <v>556</v>
      </c>
      <c r="C100" s="93"/>
      <c r="D100" s="86"/>
      <c r="E100" s="93"/>
      <c r="F100" s="86"/>
      <c r="G100" s="93"/>
      <c r="H100" s="86"/>
      <c r="I100" s="93"/>
      <c r="J100" s="86"/>
      <c r="K100" s="93"/>
      <c r="L100" s="86"/>
      <c r="M100" s="93">
        <f>+C100-E100+G100</f>
        <v>0</v>
      </c>
      <c r="N100" s="167" t="s">
        <v>557</v>
      </c>
    </row>
    <row r="101" spans="1:14" ht="18" customHeight="1" x14ac:dyDescent="0.3">
      <c r="A101" s="61" t="s">
        <v>558</v>
      </c>
      <c r="C101" s="93"/>
      <c r="D101" s="86"/>
      <c r="E101" s="93"/>
      <c r="F101" s="86"/>
      <c r="G101" s="93"/>
      <c r="H101" s="86"/>
      <c r="I101" s="93"/>
      <c r="J101" s="86"/>
      <c r="K101" s="93"/>
      <c r="L101" s="86"/>
      <c r="M101" s="93">
        <f>+C101-E101+G101</f>
        <v>0</v>
      </c>
      <c r="N101" s="167" t="s">
        <v>557</v>
      </c>
    </row>
    <row r="102" spans="1:14" ht="18" customHeight="1" x14ac:dyDescent="0.3">
      <c r="A102" s="61" t="s">
        <v>559</v>
      </c>
      <c r="C102" s="93"/>
      <c r="D102" s="86"/>
      <c r="E102" s="93"/>
      <c r="F102" s="86"/>
      <c r="G102" s="93"/>
      <c r="H102" s="86"/>
      <c r="I102" s="93"/>
      <c r="J102" s="86"/>
      <c r="K102" s="93"/>
      <c r="L102" s="86"/>
      <c r="M102" s="93">
        <f>+C102-E102+G102</f>
        <v>0</v>
      </c>
      <c r="N102" s="167" t="s">
        <v>557</v>
      </c>
    </row>
    <row r="103" spans="1:14" ht="18" customHeight="1" x14ac:dyDescent="0.3">
      <c r="A103" s="61" t="s">
        <v>560</v>
      </c>
      <c r="C103" s="93"/>
      <c r="D103" s="86"/>
      <c r="E103" s="93"/>
      <c r="F103" s="86"/>
      <c r="G103" s="93"/>
      <c r="H103" s="86"/>
      <c r="I103" s="93"/>
      <c r="J103" s="86"/>
      <c r="K103" s="93"/>
      <c r="L103" s="86"/>
      <c r="M103" s="93">
        <f>+C103-E103+G103</f>
        <v>0</v>
      </c>
      <c r="N103" s="167" t="s">
        <v>557</v>
      </c>
    </row>
    <row r="104" spans="1:14" ht="18" customHeight="1" x14ac:dyDescent="0.3">
      <c r="C104" s="85"/>
      <c r="D104" s="86"/>
      <c r="E104" s="85"/>
      <c r="F104" s="86"/>
      <c r="G104" s="85"/>
      <c r="H104" s="86"/>
      <c r="I104" s="85"/>
      <c r="J104" s="86"/>
      <c r="K104" s="85"/>
      <c r="L104" s="86"/>
      <c r="M104" s="85"/>
    </row>
    <row r="105" spans="1:14" ht="18" customHeight="1" x14ac:dyDescent="0.3">
      <c r="A105" s="61" t="s">
        <v>561</v>
      </c>
      <c r="C105" s="89">
        <f>SUM(C100:C103)</f>
        <v>0</v>
      </c>
      <c r="D105" s="86"/>
      <c r="E105" s="89">
        <f>SUM(E100:E103)</f>
        <v>0</v>
      </c>
      <c r="F105" s="86"/>
      <c r="G105" s="89">
        <f>SUM(G100:G103)</f>
        <v>0</v>
      </c>
      <c r="H105" s="86"/>
      <c r="I105" s="85"/>
      <c r="J105" s="86"/>
      <c r="K105" s="85"/>
      <c r="L105" s="86"/>
      <c r="M105" s="89">
        <f>SUM(M100:M103)</f>
        <v>0</v>
      </c>
    </row>
    <row r="106" spans="1:14" ht="18" customHeight="1" x14ac:dyDescent="0.3">
      <c r="C106" s="85"/>
      <c r="D106" s="86"/>
      <c r="E106" s="85"/>
      <c r="F106" s="86"/>
      <c r="G106" s="85"/>
      <c r="H106" s="86"/>
      <c r="I106" s="85"/>
      <c r="J106" s="86"/>
      <c r="K106" s="85"/>
      <c r="L106" s="86"/>
      <c r="M106" s="85"/>
    </row>
    <row r="107" spans="1:14" ht="18" customHeight="1" x14ac:dyDescent="0.3">
      <c r="A107" s="61" t="s">
        <v>562</v>
      </c>
      <c r="C107" s="85"/>
      <c r="D107" s="85"/>
      <c r="E107" s="85"/>
      <c r="F107" s="85"/>
      <c r="G107" s="85"/>
      <c r="H107" s="85"/>
      <c r="I107" s="85"/>
      <c r="J107" s="85"/>
      <c r="K107" s="85"/>
      <c r="L107" s="85"/>
      <c r="M107" s="85"/>
    </row>
    <row r="108" spans="1:14" ht="18" customHeight="1" x14ac:dyDescent="0.3">
      <c r="A108" s="61" t="s">
        <v>563</v>
      </c>
      <c r="C108" s="93"/>
      <c r="D108" s="86"/>
      <c r="E108" s="93"/>
      <c r="F108" s="86"/>
      <c r="G108" s="93"/>
      <c r="H108" s="86"/>
      <c r="I108" s="93"/>
      <c r="J108" s="86"/>
      <c r="K108" s="93"/>
      <c r="L108" s="86"/>
      <c r="M108" s="93">
        <f>+C108-E108+G108</f>
        <v>0</v>
      </c>
      <c r="N108" s="167" t="s">
        <v>564</v>
      </c>
    </row>
    <row r="109" spans="1:14" ht="18" customHeight="1" x14ac:dyDescent="0.3">
      <c r="A109" s="61" t="s">
        <v>565</v>
      </c>
      <c r="C109" s="93"/>
      <c r="D109" s="86"/>
      <c r="E109" s="93"/>
      <c r="F109" s="86"/>
      <c r="G109" s="93"/>
      <c r="H109" s="86"/>
      <c r="I109" s="93"/>
      <c r="J109" s="86"/>
      <c r="K109" s="93"/>
      <c r="L109" s="86"/>
      <c r="M109" s="93">
        <f>+C109-E109+G109</f>
        <v>0</v>
      </c>
      <c r="N109" s="167" t="s">
        <v>465</v>
      </c>
    </row>
    <row r="110" spans="1:14" ht="18" customHeight="1" x14ac:dyDescent="0.3">
      <c r="A110" s="61" t="s">
        <v>566</v>
      </c>
      <c r="C110" s="93"/>
      <c r="D110" s="86"/>
      <c r="E110" s="93"/>
      <c r="F110" s="86"/>
      <c r="G110" s="93"/>
      <c r="H110" s="86"/>
      <c r="I110" s="93"/>
      <c r="J110" s="86"/>
      <c r="K110" s="93"/>
      <c r="L110" s="86"/>
      <c r="M110" s="93">
        <f>+C110-E110+G110</f>
        <v>0</v>
      </c>
      <c r="N110" s="167" t="s">
        <v>567</v>
      </c>
    </row>
    <row r="111" spans="1:14" ht="18" customHeight="1" x14ac:dyDescent="0.3">
      <c r="A111" s="61" t="s">
        <v>568</v>
      </c>
      <c r="C111" s="93"/>
      <c r="D111" s="86"/>
      <c r="E111" s="93"/>
      <c r="F111" s="86"/>
      <c r="G111" s="93"/>
      <c r="H111" s="86"/>
      <c r="I111" s="93"/>
      <c r="J111" s="86"/>
      <c r="K111" s="93"/>
      <c r="L111" s="86"/>
      <c r="M111" s="93">
        <f>+C111-E111+G111</f>
        <v>0</v>
      </c>
      <c r="N111" s="167" t="s">
        <v>569</v>
      </c>
    </row>
    <row r="112" spans="1:14" ht="18" customHeight="1" x14ac:dyDescent="0.3">
      <c r="A112" s="61" t="s">
        <v>570</v>
      </c>
      <c r="C112" s="86"/>
      <c r="D112" s="86"/>
      <c r="E112" s="86"/>
      <c r="F112" s="86"/>
      <c r="G112" s="86"/>
      <c r="H112" s="86"/>
      <c r="I112" s="86"/>
      <c r="J112" s="86"/>
      <c r="K112" s="86"/>
      <c r="L112" s="86"/>
      <c r="M112" s="86"/>
    </row>
    <row r="113" spans="1:17" ht="18" customHeight="1" x14ac:dyDescent="0.3">
      <c r="A113" s="61" t="s">
        <v>571</v>
      </c>
      <c r="C113" s="93"/>
      <c r="D113" s="86"/>
      <c r="E113" s="93"/>
      <c r="F113" s="86"/>
      <c r="G113" s="93"/>
      <c r="H113" s="86"/>
      <c r="I113" s="93"/>
      <c r="J113" s="86"/>
      <c r="K113" s="93"/>
      <c r="L113" s="86"/>
      <c r="M113" s="93">
        <f>+C113-E113+G113</f>
        <v>0</v>
      </c>
      <c r="N113" s="167" t="s">
        <v>572</v>
      </c>
    </row>
    <row r="114" spans="1:17" ht="18" customHeight="1" x14ac:dyDescent="0.3">
      <c r="A114" s="61" t="s">
        <v>573</v>
      </c>
      <c r="C114" s="93"/>
      <c r="D114" s="86"/>
      <c r="E114" s="93"/>
      <c r="F114" s="86"/>
      <c r="G114" s="93"/>
      <c r="H114" s="86"/>
      <c r="I114" s="93"/>
      <c r="J114" s="86"/>
      <c r="K114" s="93"/>
      <c r="L114" s="86"/>
      <c r="M114" s="93">
        <f>+C114-E114+G114</f>
        <v>0</v>
      </c>
      <c r="N114" s="167" t="s">
        <v>572</v>
      </c>
    </row>
    <row r="115" spans="1:17" ht="18" customHeight="1" x14ac:dyDescent="0.3">
      <c r="C115" s="85"/>
      <c r="D115" s="86"/>
      <c r="E115" s="85"/>
      <c r="F115" s="86"/>
      <c r="G115" s="85"/>
      <c r="H115" s="86"/>
      <c r="I115" s="85"/>
      <c r="J115" s="86"/>
      <c r="K115" s="85"/>
      <c r="L115" s="86"/>
      <c r="M115" s="85"/>
    </row>
    <row r="116" spans="1:17" ht="18" customHeight="1" x14ac:dyDescent="0.3">
      <c r="A116" s="61" t="s">
        <v>574</v>
      </c>
      <c r="C116" s="89">
        <f>SUM(C108:C114)</f>
        <v>0</v>
      </c>
      <c r="D116" s="85"/>
      <c r="E116" s="89">
        <f>SUM(E108:E114)</f>
        <v>0</v>
      </c>
      <c r="F116" s="85"/>
      <c r="G116" s="89">
        <f>SUM(G108:G114)</f>
        <v>0</v>
      </c>
      <c r="H116" s="85"/>
      <c r="I116" s="85"/>
      <c r="J116" s="85"/>
      <c r="K116" s="85"/>
      <c r="L116" s="85"/>
      <c r="M116" s="89">
        <f>SUM(M108:M114)</f>
        <v>0</v>
      </c>
      <c r="N116" s="188"/>
      <c r="O116" s="88"/>
      <c r="P116" s="88"/>
      <c r="Q116" s="88"/>
    </row>
    <row r="117" spans="1:17" ht="18" customHeight="1" x14ac:dyDescent="0.3">
      <c r="C117" s="93"/>
      <c r="D117" s="86"/>
      <c r="E117" s="93"/>
      <c r="F117" s="86"/>
      <c r="G117" s="93"/>
      <c r="H117" s="86"/>
      <c r="I117" s="93"/>
      <c r="J117" s="86"/>
      <c r="K117" s="93"/>
      <c r="L117" s="86"/>
      <c r="M117" s="93"/>
    </row>
    <row r="118" spans="1:17" ht="18" customHeight="1" x14ac:dyDescent="0.3">
      <c r="A118" s="61" t="s">
        <v>193</v>
      </c>
      <c r="C118" s="89">
        <f>+C116+C105+C97+C59+C23+C21</f>
        <v>0</v>
      </c>
      <c r="D118" s="86"/>
      <c r="E118" s="89">
        <f>+E116+E105+E97+E59+E23+E21</f>
        <v>0</v>
      </c>
      <c r="F118" s="86"/>
      <c r="G118" s="89">
        <f>+G116+G105+G97+G59+G23+G21</f>
        <v>0</v>
      </c>
      <c r="H118" s="86"/>
      <c r="I118" s="89"/>
      <c r="J118" s="86"/>
      <c r="K118" s="89"/>
      <c r="L118" s="86"/>
      <c r="M118" s="89">
        <f>+M116+M105+M97+M59+M23+M21</f>
        <v>0</v>
      </c>
    </row>
    <row r="119" spans="1:17" ht="18" customHeight="1" x14ac:dyDescent="0.3">
      <c r="C119" s="85"/>
      <c r="D119" s="86"/>
      <c r="E119" s="85"/>
      <c r="F119" s="86"/>
      <c r="G119" s="85"/>
      <c r="H119" s="86"/>
      <c r="I119" s="85"/>
      <c r="J119" s="86"/>
      <c r="K119" s="85"/>
      <c r="L119" s="86"/>
      <c r="M119" s="85"/>
    </row>
    <row r="120" spans="1:17" ht="18" customHeight="1" x14ac:dyDescent="0.3">
      <c r="A120" s="84" t="s">
        <v>194</v>
      </c>
      <c r="C120" s="86"/>
      <c r="D120" s="86"/>
      <c r="E120" s="86"/>
      <c r="F120" s="86"/>
      <c r="G120" s="86"/>
      <c r="H120" s="86"/>
      <c r="I120" s="86"/>
      <c r="J120" s="86"/>
      <c r="K120" s="86"/>
      <c r="L120" s="86"/>
      <c r="M120" s="86"/>
    </row>
    <row r="121" spans="1:17" ht="18" customHeight="1" x14ac:dyDescent="0.3">
      <c r="A121" s="61" t="s">
        <v>575</v>
      </c>
      <c r="C121" s="91"/>
      <c r="D121" s="91"/>
      <c r="E121" s="91"/>
      <c r="F121" s="91"/>
      <c r="G121" s="91"/>
      <c r="H121" s="91"/>
      <c r="I121" s="91"/>
      <c r="J121" s="91"/>
      <c r="K121" s="91"/>
      <c r="L121" s="91"/>
      <c r="M121" s="91"/>
      <c r="N121" s="188"/>
    </row>
    <row r="122" spans="1:17" ht="18" customHeight="1" x14ac:dyDescent="0.3">
      <c r="A122" s="61" t="s">
        <v>576</v>
      </c>
      <c r="C122" s="86"/>
      <c r="D122" s="86"/>
      <c r="E122" s="86"/>
      <c r="F122" s="86"/>
      <c r="G122" s="86"/>
      <c r="H122" s="86"/>
      <c r="I122" s="86"/>
      <c r="J122" s="86"/>
      <c r="K122" s="86"/>
      <c r="L122" s="86"/>
      <c r="M122" s="86"/>
    </row>
    <row r="123" spans="1:17" ht="18" customHeight="1" x14ac:dyDescent="0.3">
      <c r="A123" s="58" t="s">
        <v>742</v>
      </c>
      <c r="C123" s="93"/>
      <c r="D123" s="86"/>
      <c r="E123" s="196">
        <f>Reconciliations!C22</f>
        <v>0</v>
      </c>
      <c r="F123" s="86" t="s">
        <v>133</v>
      </c>
      <c r="G123" s="196">
        <f>Reconciliations!D22</f>
        <v>49136.873795294538</v>
      </c>
      <c r="H123" s="86" t="s">
        <v>133</v>
      </c>
      <c r="I123" s="93"/>
      <c r="J123" s="86"/>
      <c r="K123" s="93"/>
      <c r="L123" s="86"/>
      <c r="M123" s="93">
        <f>+C123+E123+E124+E125-G123-G124-G125</f>
        <v>-49681.613795294543</v>
      </c>
      <c r="N123" s="198" t="s">
        <v>135</v>
      </c>
    </row>
    <row r="124" spans="1:17" ht="18" customHeight="1" x14ac:dyDescent="0.3">
      <c r="A124" s="73"/>
      <c r="C124" s="85"/>
      <c r="D124" s="86"/>
      <c r="E124" s="196">
        <f>Reconciliations!C38</f>
        <v>27238.5</v>
      </c>
      <c r="F124" s="86" t="s">
        <v>138</v>
      </c>
      <c r="G124" s="196">
        <f>Reconciliations!D38</f>
        <v>0</v>
      </c>
      <c r="H124" s="86" t="s">
        <v>138</v>
      </c>
      <c r="I124" s="93"/>
      <c r="J124" s="86"/>
      <c r="K124" s="93"/>
      <c r="L124" s="86"/>
      <c r="M124" s="85"/>
    </row>
    <row r="125" spans="1:17" ht="18" customHeight="1" x14ac:dyDescent="0.3">
      <c r="A125" s="73"/>
      <c r="C125" s="85"/>
      <c r="D125" s="86"/>
      <c r="E125" s="196">
        <f>Reconciliations!C52</f>
        <v>0</v>
      </c>
      <c r="F125" s="86" t="s">
        <v>140</v>
      </c>
      <c r="G125" s="196">
        <f>Reconciliations!D52</f>
        <v>27783.24</v>
      </c>
      <c r="H125" s="86" t="s">
        <v>140</v>
      </c>
      <c r="I125" s="93"/>
      <c r="J125" s="86"/>
      <c r="K125" s="93"/>
      <c r="L125" s="86"/>
      <c r="M125" s="85"/>
    </row>
    <row r="126" spans="1:17" ht="18" customHeight="1" x14ac:dyDescent="0.3">
      <c r="A126" s="61" t="s">
        <v>577</v>
      </c>
      <c r="C126" s="93"/>
      <c r="D126" s="86"/>
      <c r="E126" s="93"/>
      <c r="F126" s="86"/>
      <c r="G126" s="93"/>
      <c r="H126" s="86"/>
      <c r="I126" s="93"/>
      <c r="J126" s="86"/>
      <c r="K126" s="93"/>
      <c r="L126" s="86"/>
      <c r="M126" s="93">
        <f>+C126+E126-G126</f>
        <v>0</v>
      </c>
    </row>
    <row r="127" spans="1:17" ht="18" customHeight="1" x14ac:dyDescent="0.3">
      <c r="A127" s="61" t="s">
        <v>578</v>
      </c>
      <c r="C127" s="93"/>
      <c r="D127" s="86"/>
      <c r="E127" s="93"/>
      <c r="F127" s="86"/>
      <c r="G127" s="93"/>
      <c r="H127" s="86"/>
      <c r="I127" s="93"/>
      <c r="J127" s="86"/>
      <c r="K127" s="93"/>
      <c r="L127" s="86"/>
      <c r="M127" s="93">
        <f>+C127+E127-G127</f>
        <v>0</v>
      </c>
    </row>
    <row r="128" spans="1:17" ht="18" customHeight="1" x14ac:dyDescent="0.3">
      <c r="A128" s="61" t="s">
        <v>579</v>
      </c>
      <c r="C128" s="93"/>
      <c r="D128" s="86"/>
      <c r="E128" s="93"/>
      <c r="F128" s="86"/>
      <c r="G128" s="93"/>
      <c r="H128" s="86"/>
      <c r="I128" s="93"/>
      <c r="J128" s="86"/>
      <c r="K128" s="93"/>
      <c r="L128" s="86"/>
      <c r="M128" s="93">
        <f>+C128+E128-G128</f>
        <v>0</v>
      </c>
    </row>
    <row r="129" spans="1:13" ht="18" customHeight="1" x14ac:dyDescent="0.3">
      <c r="A129" s="61" t="s">
        <v>580</v>
      </c>
      <c r="C129" s="86"/>
      <c r="D129" s="86"/>
      <c r="E129" s="86"/>
      <c r="F129" s="86"/>
      <c r="G129" s="86"/>
      <c r="H129" s="86"/>
      <c r="I129" s="86"/>
      <c r="J129" s="86"/>
      <c r="K129" s="86"/>
      <c r="L129" s="86"/>
      <c r="M129" s="86"/>
    </row>
    <row r="130" spans="1:13" ht="18" customHeight="1" x14ac:dyDescent="0.3">
      <c r="A130" s="61" t="s">
        <v>581</v>
      </c>
      <c r="C130" s="93"/>
      <c r="D130" s="86"/>
      <c r="E130" s="93"/>
      <c r="F130" s="86"/>
      <c r="G130" s="93"/>
      <c r="H130" s="86"/>
      <c r="I130" s="93"/>
      <c r="J130" s="86"/>
      <c r="K130" s="93"/>
      <c r="L130" s="86"/>
      <c r="M130" s="93">
        <f>+C130+E130-G130</f>
        <v>0</v>
      </c>
    </row>
    <row r="131" spans="1:13" ht="18" customHeight="1" x14ac:dyDescent="0.3">
      <c r="A131" s="61" t="s">
        <v>582</v>
      </c>
      <c r="C131" s="93"/>
      <c r="D131" s="86"/>
      <c r="E131" s="93"/>
      <c r="F131" s="86"/>
      <c r="G131" s="93"/>
      <c r="H131" s="86"/>
      <c r="I131" s="93"/>
      <c r="J131" s="86"/>
      <c r="K131" s="93"/>
      <c r="L131" s="86"/>
      <c r="M131" s="93">
        <f>+C131+E131-G131</f>
        <v>0</v>
      </c>
    </row>
    <row r="132" spans="1:13" ht="18" customHeight="1" x14ac:dyDescent="0.3">
      <c r="A132" s="61" t="s">
        <v>583</v>
      </c>
      <c r="C132" s="93"/>
      <c r="D132" s="86"/>
      <c r="E132" s="93"/>
      <c r="F132" s="86"/>
      <c r="G132" s="93"/>
      <c r="H132" s="86"/>
      <c r="I132" s="93"/>
      <c r="J132" s="86"/>
      <c r="K132" s="93"/>
      <c r="L132" s="86"/>
      <c r="M132" s="93">
        <f>+C132+E132-G132</f>
        <v>0</v>
      </c>
    </row>
    <row r="133" spans="1:13" ht="18" customHeight="1" x14ac:dyDescent="0.3">
      <c r="A133" s="61" t="s">
        <v>584</v>
      </c>
      <c r="C133" s="93"/>
      <c r="D133" s="86"/>
      <c r="E133" s="93"/>
      <c r="F133" s="86"/>
      <c r="G133" s="93"/>
      <c r="H133" s="86"/>
      <c r="I133" s="93"/>
      <c r="J133" s="86"/>
      <c r="K133" s="93"/>
      <c r="L133" s="86"/>
      <c r="M133" s="93">
        <f>+C133+E133-G133</f>
        <v>0</v>
      </c>
    </row>
    <row r="134" spans="1:13" ht="18" customHeight="1" x14ac:dyDescent="0.3">
      <c r="C134" s="86"/>
      <c r="D134" s="86"/>
      <c r="E134" s="86"/>
      <c r="F134" s="86"/>
      <c r="G134" s="86"/>
      <c r="H134" s="86"/>
      <c r="I134" s="86"/>
      <c r="J134" s="86"/>
      <c r="K134" s="86"/>
      <c r="L134" s="86"/>
      <c r="M134" s="86"/>
    </row>
    <row r="135" spans="1:13" ht="18" customHeight="1" x14ac:dyDescent="0.3">
      <c r="A135" s="61" t="s">
        <v>585</v>
      </c>
      <c r="C135" s="86"/>
      <c r="D135" s="86"/>
      <c r="E135" s="86"/>
      <c r="F135" s="86"/>
      <c r="G135" s="86"/>
      <c r="H135" s="86"/>
      <c r="I135" s="86"/>
      <c r="J135" s="86"/>
      <c r="K135" s="86"/>
      <c r="L135" s="86"/>
      <c r="M135" s="86"/>
    </row>
    <row r="136" spans="1:13" ht="18" customHeight="1" x14ac:dyDescent="0.3">
      <c r="A136" s="61" t="s">
        <v>586</v>
      </c>
      <c r="C136" s="93"/>
      <c r="D136" s="86"/>
      <c r="E136" s="93"/>
      <c r="F136" s="86"/>
      <c r="G136" s="93"/>
      <c r="H136" s="86"/>
      <c r="I136" s="93"/>
      <c r="J136" s="86"/>
      <c r="K136" s="93"/>
      <c r="L136" s="86"/>
      <c r="M136" s="93">
        <f>+C136+E136-G136</f>
        <v>0</v>
      </c>
    </row>
    <row r="137" spans="1:13" ht="18" customHeight="1" x14ac:dyDescent="0.3">
      <c r="A137" s="61" t="s">
        <v>587</v>
      </c>
      <c r="C137" s="93"/>
      <c r="D137" s="86"/>
      <c r="E137" s="93"/>
      <c r="F137" s="86"/>
      <c r="G137" s="93"/>
      <c r="H137" s="86"/>
      <c r="I137" s="93"/>
      <c r="J137" s="86"/>
      <c r="K137" s="93"/>
      <c r="L137" s="86"/>
      <c r="M137" s="93">
        <f>+C137+E137-G137</f>
        <v>0</v>
      </c>
    </row>
    <row r="138" spans="1:13" ht="18" customHeight="1" x14ac:dyDescent="0.3">
      <c r="A138" s="61" t="s">
        <v>588</v>
      </c>
      <c r="C138" s="93"/>
      <c r="D138" s="86"/>
      <c r="E138" s="93"/>
      <c r="F138" s="86"/>
      <c r="G138" s="93"/>
      <c r="H138" s="86"/>
      <c r="I138" s="93"/>
      <c r="J138" s="86"/>
      <c r="K138" s="93"/>
      <c r="L138" s="86"/>
      <c r="M138" s="93">
        <f>+C138+E138-G138</f>
        <v>0</v>
      </c>
    </row>
    <row r="139" spans="1:13" ht="18" customHeight="1" x14ac:dyDescent="0.3">
      <c r="A139" s="61" t="s">
        <v>589</v>
      </c>
      <c r="C139" s="86"/>
      <c r="D139" s="86"/>
      <c r="E139" s="86"/>
      <c r="F139" s="86"/>
      <c r="G139" s="86"/>
      <c r="H139" s="86"/>
      <c r="I139" s="86"/>
      <c r="J139" s="86"/>
      <c r="K139" s="86"/>
      <c r="L139" s="86"/>
      <c r="M139" s="86"/>
    </row>
    <row r="140" spans="1:13" ht="18" customHeight="1" x14ac:dyDescent="0.3">
      <c r="A140" s="61" t="s">
        <v>590</v>
      </c>
      <c r="C140" s="93"/>
      <c r="D140" s="86"/>
      <c r="E140" s="93"/>
      <c r="F140" s="86"/>
      <c r="G140" s="93"/>
      <c r="H140" s="86"/>
      <c r="I140" s="93"/>
      <c r="J140" s="86"/>
      <c r="K140" s="93"/>
      <c r="L140" s="86"/>
      <c r="M140" s="93">
        <f>+C140+E140-G140</f>
        <v>0</v>
      </c>
    </row>
    <row r="141" spans="1:13" ht="18" customHeight="1" x14ac:dyDescent="0.3">
      <c r="C141" s="86"/>
      <c r="D141" s="86"/>
      <c r="E141" s="86"/>
      <c r="F141" s="86"/>
      <c r="G141" s="86"/>
      <c r="H141" s="86"/>
      <c r="I141" s="86"/>
      <c r="J141" s="86"/>
      <c r="K141" s="86"/>
      <c r="L141" s="86"/>
      <c r="M141" s="86"/>
    </row>
    <row r="142" spans="1:13" ht="18" customHeight="1" x14ac:dyDescent="0.3">
      <c r="A142" s="61" t="s">
        <v>591</v>
      </c>
      <c r="C142" s="86"/>
      <c r="D142" s="86"/>
      <c r="E142" s="86"/>
      <c r="F142" s="86"/>
      <c r="G142" s="86"/>
      <c r="H142" s="86"/>
      <c r="I142" s="86"/>
      <c r="J142" s="86"/>
      <c r="K142" s="86"/>
      <c r="L142" s="86"/>
      <c r="M142" s="86"/>
    </row>
    <row r="143" spans="1:13" ht="18" customHeight="1" x14ac:dyDescent="0.3">
      <c r="A143" s="61" t="s">
        <v>592</v>
      </c>
      <c r="C143" s="93"/>
      <c r="D143" s="86"/>
      <c r="E143" s="93"/>
      <c r="F143" s="86"/>
      <c r="G143" s="93"/>
      <c r="H143" s="86"/>
      <c r="I143" s="93"/>
      <c r="J143" s="86"/>
      <c r="K143" s="93"/>
      <c r="L143" s="86"/>
      <c r="M143" s="93">
        <f t="shared" ref="M143:M154" si="5">+C143+E143-G143</f>
        <v>0</v>
      </c>
    </row>
    <row r="144" spans="1:13" ht="18" customHeight="1" x14ac:dyDescent="0.3">
      <c r="A144" s="61" t="s">
        <v>593</v>
      </c>
      <c r="C144" s="93"/>
      <c r="D144" s="86"/>
      <c r="E144" s="93"/>
      <c r="F144" s="86"/>
      <c r="G144" s="93"/>
      <c r="H144" s="86"/>
      <c r="I144" s="93"/>
      <c r="J144" s="86"/>
      <c r="K144" s="93"/>
      <c r="L144" s="86"/>
      <c r="M144" s="93">
        <f t="shared" si="5"/>
        <v>0</v>
      </c>
    </row>
    <row r="145" spans="1:14" ht="18" customHeight="1" x14ac:dyDescent="0.3">
      <c r="A145" s="61" t="s">
        <v>594</v>
      </c>
      <c r="C145" s="93"/>
      <c r="D145" s="86"/>
      <c r="E145" s="93"/>
      <c r="F145" s="86"/>
      <c r="G145" s="93"/>
      <c r="H145" s="86"/>
      <c r="I145" s="93"/>
      <c r="J145" s="86"/>
      <c r="K145" s="93"/>
      <c r="L145" s="86"/>
      <c r="M145" s="93">
        <f t="shared" si="5"/>
        <v>0</v>
      </c>
    </row>
    <row r="146" spans="1:14" ht="18" customHeight="1" x14ac:dyDescent="0.3">
      <c r="A146" s="61" t="s">
        <v>595</v>
      </c>
      <c r="C146" s="93"/>
      <c r="D146" s="86"/>
      <c r="E146" s="93"/>
      <c r="F146" s="86"/>
      <c r="G146" s="93"/>
      <c r="H146" s="86"/>
      <c r="I146" s="93"/>
      <c r="J146" s="86"/>
      <c r="K146" s="93"/>
      <c r="L146" s="86"/>
      <c r="M146" s="93">
        <f t="shared" si="5"/>
        <v>0</v>
      </c>
    </row>
    <row r="147" spans="1:14" ht="18" customHeight="1" x14ac:dyDescent="0.3">
      <c r="A147" s="61" t="s">
        <v>596</v>
      </c>
      <c r="C147" s="93"/>
      <c r="D147" s="86"/>
      <c r="E147" s="93"/>
      <c r="F147" s="86"/>
      <c r="G147" s="93"/>
      <c r="H147" s="86"/>
      <c r="I147" s="93"/>
      <c r="J147" s="86"/>
      <c r="K147" s="93"/>
      <c r="L147" s="86"/>
      <c r="M147" s="93">
        <f t="shared" si="5"/>
        <v>0</v>
      </c>
    </row>
    <row r="148" spans="1:14" ht="18" customHeight="1" x14ac:dyDescent="0.3">
      <c r="A148" s="61" t="s">
        <v>597</v>
      </c>
      <c r="C148" s="93"/>
      <c r="D148" s="86"/>
      <c r="E148" s="93"/>
      <c r="F148" s="86"/>
      <c r="G148" s="93"/>
      <c r="H148" s="86"/>
      <c r="I148" s="93"/>
      <c r="J148" s="86"/>
      <c r="K148" s="93"/>
      <c r="L148" s="86"/>
      <c r="M148" s="93">
        <f t="shared" si="5"/>
        <v>0</v>
      </c>
    </row>
    <row r="149" spans="1:14" ht="18" customHeight="1" x14ac:dyDescent="0.3">
      <c r="A149" s="61" t="s">
        <v>598</v>
      </c>
      <c r="C149" s="93"/>
      <c r="D149" s="86"/>
      <c r="E149" s="93"/>
      <c r="F149" s="86"/>
      <c r="G149" s="93"/>
      <c r="H149" s="86"/>
      <c r="I149" s="93"/>
      <c r="J149" s="86"/>
      <c r="K149" s="93"/>
      <c r="L149" s="86"/>
      <c r="M149" s="93">
        <f t="shared" si="5"/>
        <v>0</v>
      </c>
    </row>
    <row r="150" spans="1:14" ht="18" customHeight="1" x14ac:dyDescent="0.3">
      <c r="A150" s="61" t="s">
        <v>599</v>
      </c>
      <c r="C150" s="93"/>
      <c r="D150" s="86"/>
      <c r="E150" s="93"/>
      <c r="F150" s="86"/>
      <c r="G150" s="93"/>
      <c r="H150" s="86"/>
      <c r="I150" s="93"/>
      <c r="J150" s="86"/>
      <c r="K150" s="93"/>
      <c r="L150" s="86"/>
      <c r="M150" s="93">
        <f t="shared" si="5"/>
        <v>0</v>
      </c>
    </row>
    <row r="151" spans="1:14" ht="18" customHeight="1" x14ac:dyDescent="0.3">
      <c r="A151" s="61" t="s">
        <v>600</v>
      </c>
      <c r="C151" s="93"/>
      <c r="D151" s="86"/>
      <c r="E151" s="93"/>
      <c r="F151" s="86"/>
      <c r="G151" s="93"/>
      <c r="H151" s="86"/>
      <c r="I151" s="93"/>
      <c r="J151" s="86"/>
      <c r="K151" s="93"/>
      <c r="L151" s="86"/>
      <c r="M151" s="93">
        <f>+C151+E151-G151</f>
        <v>0</v>
      </c>
    </row>
    <row r="152" spans="1:14" ht="18" customHeight="1" x14ac:dyDescent="0.3">
      <c r="A152" s="61" t="s">
        <v>601</v>
      </c>
      <c r="C152" s="93"/>
      <c r="D152" s="86"/>
      <c r="E152" s="93"/>
      <c r="F152" s="86"/>
      <c r="G152" s="93"/>
      <c r="H152" s="86"/>
      <c r="I152" s="93"/>
      <c r="J152" s="86"/>
      <c r="K152" s="93"/>
      <c r="L152" s="86"/>
      <c r="M152" s="93">
        <f>+C152+E152-G152</f>
        <v>0</v>
      </c>
    </row>
    <row r="153" spans="1:14" ht="18" customHeight="1" x14ac:dyDescent="0.3">
      <c r="A153" s="61" t="s">
        <v>602</v>
      </c>
      <c r="C153" s="93"/>
      <c r="D153" s="86"/>
      <c r="E153" s="93"/>
      <c r="F153" s="86"/>
      <c r="G153" s="93"/>
      <c r="H153" s="86"/>
      <c r="I153" s="93"/>
      <c r="J153" s="86"/>
      <c r="K153" s="93"/>
      <c r="L153" s="86"/>
      <c r="M153" s="93">
        <f>+C153+E153-G153</f>
        <v>0</v>
      </c>
    </row>
    <row r="154" spans="1:14" ht="18" customHeight="1" x14ac:dyDescent="0.3">
      <c r="A154" s="61" t="s">
        <v>603</v>
      </c>
      <c r="C154" s="93"/>
      <c r="D154" s="86"/>
      <c r="E154" s="93"/>
      <c r="F154" s="86"/>
      <c r="G154" s="93"/>
      <c r="H154" s="86"/>
      <c r="I154" s="93"/>
      <c r="J154" s="86"/>
      <c r="K154" s="93"/>
      <c r="L154" s="86"/>
      <c r="M154" s="93">
        <f t="shared" si="5"/>
        <v>0</v>
      </c>
    </row>
    <row r="155" spans="1:14" ht="18" customHeight="1" x14ac:dyDescent="0.3">
      <c r="C155" s="86"/>
      <c r="D155" s="86"/>
      <c r="E155" s="86"/>
      <c r="F155" s="86"/>
      <c r="G155" s="86"/>
      <c r="H155" s="86"/>
      <c r="I155" s="86"/>
      <c r="J155" s="86"/>
      <c r="K155" s="86"/>
      <c r="L155" s="86"/>
      <c r="M155" s="86"/>
    </row>
    <row r="156" spans="1:14" ht="18" customHeight="1" x14ac:dyDescent="0.3">
      <c r="A156" s="61" t="s">
        <v>604</v>
      </c>
      <c r="C156" s="89">
        <f>SUM(C123:C154)</f>
        <v>0</v>
      </c>
      <c r="D156" s="86"/>
      <c r="E156" s="89">
        <f>SUM(E123:E154)</f>
        <v>27238.5</v>
      </c>
      <c r="F156" s="86"/>
      <c r="G156" s="89">
        <f>SUM(G123:G154)</f>
        <v>76920.113795294543</v>
      </c>
      <c r="H156" s="86"/>
      <c r="I156" s="89"/>
      <c r="J156" s="86"/>
      <c r="K156" s="89"/>
      <c r="L156" s="86"/>
      <c r="M156" s="89">
        <f>SUM(M123:M154)</f>
        <v>-49681.613795294543</v>
      </c>
      <c r="N156" s="167" t="s">
        <v>329</v>
      </c>
    </row>
    <row r="157" spans="1:14" ht="18" customHeight="1" x14ac:dyDescent="0.3">
      <c r="C157" s="86"/>
      <c r="D157" s="86"/>
      <c r="E157" s="86"/>
      <c r="F157" s="86"/>
      <c r="G157" s="86"/>
      <c r="H157" s="86"/>
      <c r="I157" s="86"/>
      <c r="J157" s="86"/>
      <c r="K157" s="86"/>
      <c r="L157" s="86"/>
      <c r="M157" s="86"/>
    </row>
    <row r="158" spans="1:14" ht="18" customHeight="1" x14ac:dyDescent="0.3">
      <c r="A158" s="61" t="s">
        <v>605</v>
      </c>
      <c r="C158" s="86"/>
      <c r="D158" s="86"/>
      <c r="E158" s="86"/>
      <c r="F158" s="86"/>
      <c r="G158" s="86"/>
      <c r="H158" s="86"/>
      <c r="I158" s="86"/>
      <c r="J158" s="86"/>
      <c r="K158" s="86"/>
      <c r="L158" s="86"/>
      <c r="M158" s="86"/>
    </row>
    <row r="159" spans="1:14" ht="18" customHeight="1" x14ac:dyDescent="0.3">
      <c r="A159" s="61" t="s">
        <v>606</v>
      </c>
      <c r="C159" s="85"/>
      <c r="D159" s="85"/>
      <c r="E159" s="85"/>
      <c r="F159" s="85"/>
      <c r="G159" s="85"/>
      <c r="H159" s="85"/>
      <c r="I159" s="85"/>
      <c r="J159" s="85"/>
      <c r="K159" s="85"/>
      <c r="L159" s="85"/>
      <c r="M159" s="85"/>
    </row>
    <row r="160" spans="1:14" ht="18" customHeight="1" x14ac:dyDescent="0.3">
      <c r="A160" s="61" t="s">
        <v>607</v>
      </c>
      <c r="C160" s="93"/>
      <c r="D160" s="86"/>
      <c r="E160" s="93"/>
      <c r="F160" s="86"/>
      <c r="G160" s="93"/>
      <c r="H160" s="86"/>
      <c r="I160" s="93"/>
      <c r="J160" s="86"/>
      <c r="K160" s="93"/>
      <c r="L160" s="86"/>
      <c r="M160" s="93">
        <f t="shared" ref="M160:M165" si="6">+C160+E160-G160</f>
        <v>0</v>
      </c>
    </row>
    <row r="161" spans="1:14" ht="18" customHeight="1" x14ac:dyDescent="0.3">
      <c r="A161" s="61" t="s">
        <v>608</v>
      </c>
      <c r="C161" s="93"/>
      <c r="D161" s="86"/>
      <c r="E161" s="93"/>
      <c r="F161" s="86"/>
      <c r="G161" s="93"/>
      <c r="H161" s="86"/>
      <c r="I161" s="93"/>
      <c r="J161" s="86"/>
      <c r="K161" s="93"/>
      <c r="L161" s="86"/>
      <c r="M161" s="93">
        <f t="shared" si="6"/>
        <v>0</v>
      </c>
    </row>
    <row r="162" spans="1:14" ht="18" customHeight="1" x14ac:dyDescent="0.3">
      <c r="A162" s="61" t="s">
        <v>609</v>
      </c>
      <c r="C162" s="93"/>
      <c r="D162" s="86"/>
      <c r="E162" s="93"/>
      <c r="F162" s="86"/>
      <c r="G162" s="93"/>
      <c r="H162" s="86"/>
      <c r="I162" s="93"/>
      <c r="J162" s="86"/>
      <c r="K162" s="93"/>
      <c r="L162" s="86"/>
      <c r="M162" s="93">
        <f t="shared" si="6"/>
        <v>0</v>
      </c>
    </row>
    <row r="163" spans="1:14" ht="18" customHeight="1" x14ac:dyDescent="0.3">
      <c r="A163" s="61" t="s">
        <v>610</v>
      </c>
      <c r="C163" s="93"/>
      <c r="D163" s="86"/>
      <c r="E163" s="93"/>
      <c r="F163" s="86"/>
      <c r="G163" s="93"/>
      <c r="H163" s="86"/>
      <c r="I163" s="93"/>
      <c r="J163" s="86"/>
      <c r="K163" s="93"/>
      <c r="L163" s="86"/>
      <c r="M163" s="93">
        <f t="shared" si="6"/>
        <v>0</v>
      </c>
    </row>
    <row r="164" spans="1:14" ht="18" customHeight="1" x14ac:dyDescent="0.3">
      <c r="A164" s="61" t="s">
        <v>611</v>
      </c>
      <c r="C164" s="93"/>
      <c r="D164" s="86"/>
      <c r="E164" s="93"/>
      <c r="F164" s="86"/>
      <c r="G164" s="93"/>
      <c r="H164" s="86"/>
      <c r="I164" s="93"/>
      <c r="J164" s="86"/>
      <c r="K164" s="93"/>
      <c r="L164" s="86"/>
      <c r="M164" s="93">
        <f t="shared" si="6"/>
        <v>0</v>
      </c>
    </row>
    <row r="165" spans="1:14" ht="18" customHeight="1" x14ac:dyDescent="0.3">
      <c r="A165" s="61" t="s">
        <v>612</v>
      </c>
      <c r="C165" s="93"/>
      <c r="D165" s="86"/>
      <c r="E165" s="93"/>
      <c r="F165" s="86"/>
      <c r="G165" s="93"/>
      <c r="H165" s="86"/>
      <c r="I165" s="93"/>
      <c r="J165" s="86"/>
      <c r="K165" s="93"/>
      <c r="L165" s="86"/>
      <c r="M165" s="93">
        <f t="shared" si="6"/>
        <v>0</v>
      </c>
    </row>
    <row r="166" spans="1:14" ht="18" customHeight="1" x14ac:dyDescent="0.3">
      <c r="C166" s="86"/>
      <c r="D166" s="86"/>
      <c r="E166" s="86"/>
      <c r="F166" s="86"/>
      <c r="G166" s="86"/>
      <c r="H166" s="86"/>
      <c r="I166" s="86"/>
      <c r="J166" s="86"/>
      <c r="K166" s="86"/>
      <c r="L166" s="86"/>
      <c r="M166" s="86"/>
    </row>
    <row r="167" spans="1:14" ht="18" customHeight="1" x14ac:dyDescent="0.3">
      <c r="A167" s="61" t="s">
        <v>613</v>
      </c>
      <c r="C167" s="86"/>
      <c r="D167" s="86"/>
      <c r="E167" s="86"/>
      <c r="F167" s="86"/>
      <c r="G167" s="86"/>
      <c r="H167" s="86"/>
      <c r="I167" s="86"/>
      <c r="J167" s="86"/>
      <c r="K167" s="86"/>
      <c r="L167" s="86"/>
      <c r="M167" s="86"/>
    </row>
    <row r="168" spans="1:14" ht="18" customHeight="1" x14ac:dyDescent="0.3">
      <c r="A168" s="61" t="s">
        <v>614</v>
      </c>
      <c r="C168" s="93"/>
      <c r="D168" s="86"/>
      <c r="E168" s="93"/>
      <c r="F168" s="86"/>
      <c r="G168" s="93"/>
      <c r="H168" s="86"/>
      <c r="I168" s="93"/>
      <c r="J168" s="86"/>
      <c r="K168" s="93"/>
      <c r="L168" s="86"/>
      <c r="M168" s="93">
        <f>+C168+E168-G168</f>
        <v>0</v>
      </c>
    </row>
    <row r="169" spans="1:14" ht="18" customHeight="1" x14ac:dyDescent="0.3">
      <c r="A169" s="61" t="s">
        <v>615</v>
      </c>
      <c r="C169" s="93"/>
      <c r="D169" s="86"/>
      <c r="E169" s="93"/>
      <c r="F169" s="86"/>
      <c r="G169" s="93"/>
      <c r="H169" s="86"/>
      <c r="I169" s="93"/>
      <c r="J169" s="86"/>
      <c r="K169" s="93"/>
      <c r="L169" s="86"/>
      <c r="M169" s="93">
        <f>+C169+E169-G169</f>
        <v>0</v>
      </c>
    </row>
    <row r="170" spans="1:14" ht="18" customHeight="1" x14ac:dyDescent="0.3">
      <c r="A170" s="61" t="s">
        <v>616</v>
      </c>
      <c r="C170" s="93"/>
      <c r="D170" s="86"/>
      <c r="E170" s="93"/>
      <c r="F170" s="86"/>
      <c r="G170" s="93"/>
      <c r="H170" s="86"/>
      <c r="I170" s="93"/>
      <c r="J170" s="86"/>
      <c r="K170" s="93"/>
      <c r="L170" s="86"/>
      <c r="M170" s="93">
        <f>+C170+E170-G170</f>
        <v>0</v>
      </c>
    </row>
    <row r="171" spans="1:14" ht="18" customHeight="1" x14ac:dyDescent="0.3">
      <c r="A171" s="61" t="s">
        <v>617</v>
      </c>
      <c r="C171" s="93"/>
      <c r="D171" s="86"/>
      <c r="E171" s="93"/>
      <c r="F171" s="86"/>
      <c r="G171" s="93"/>
      <c r="H171" s="86"/>
      <c r="I171" s="93"/>
      <c r="J171" s="86"/>
      <c r="K171" s="93"/>
      <c r="L171" s="86"/>
      <c r="M171" s="93">
        <f>+C171+E171-G171</f>
        <v>0</v>
      </c>
    </row>
    <row r="172" spans="1:14" ht="18" customHeight="1" x14ac:dyDescent="0.3">
      <c r="A172" s="61" t="s">
        <v>618</v>
      </c>
      <c r="C172" s="93"/>
      <c r="D172" s="86"/>
      <c r="E172" s="93"/>
      <c r="F172" s="86"/>
      <c r="G172" s="93"/>
      <c r="H172" s="86"/>
      <c r="I172" s="93"/>
      <c r="J172" s="86"/>
      <c r="K172" s="93"/>
      <c r="L172" s="86"/>
      <c r="M172" s="93">
        <f>+C172+E172-G172</f>
        <v>0</v>
      </c>
    </row>
    <row r="173" spans="1:14" ht="18" customHeight="1" x14ac:dyDescent="0.3">
      <c r="C173" s="86"/>
      <c r="D173" s="86"/>
      <c r="E173" s="86"/>
      <c r="F173" s="86"/>
      <c r="G173" s="86"/>
      <c r="H173" s="86"/>
      <c r="I173" s="86"/>
      <c r="J173" s="86"/>
      <c r="K173" s="86"/>
      <c r="L173" s="86"/>
      <c r="M173" s="86"/>
    </row>
    <row r="174" spans="1:14" ht="18" customHeight="1" x14ac:dyDescent="0.3">
      <c r="A174" s="61" t="s">
        <v>619</v>
      </c>
      <c r="C174" s="89">
        <f>SUM(C160:C172)</f>
        <v>0</v>
      </c>
      <c r="D174" s="86"/>
      <c r="E174" s="89">
        <f>SUM(E160:E172)</f>
        <v>0</v>
      </c>
      <c r="F174" s="86"/>
      <c r="G174" s="89">
        <f>SUM(G160:G172)</f>
        <v>0</v>
      </c>
      <c r="H174" s="86"/>
      <c r="I174" s="89"/>
      <c r="J174" s="86"/>
      <c r="K174" s="89"/>
      <c r="L174" s="86"/>
      <c r="M174" s="89">
        <f>SUM(M160:M172)</f>
        <v>0</v>
      </c>
      <c r="N174" s="167" t="s">
        <v>330</v>
      </c>
    </row>
    <row r="175" spans="1:14" ht="18" customHeight="1" x14ac:dyDescent="0.3">
      <c r="C175" s="86"/>
      <c r="D175" s="86"/>
      <c r="E175" s="86"/>
      <c r="F175" s="86"/>
      <c r="G175" s="86"/>
      <c r="H175" s="86"/>
      <c r="I175" s="86"/>
      <c r="J175" s="86"/>
      <c r="K175" s="86"/>
      <c r="L175" s="86"/>
      <c r="M175" s="86"/>
    </row>
    <row r="176" spans="1:14" ht="18" customHeight="1" x14ac:dyDescent="0.3">
      <c r="A176" s="61" t="s">
        <v>620</v>
      </c>
      <c r="C176" s="86"/>
      <c r="D176" s="86"/>
      <c r="E176" s="86"/>
      <c r="F176" s="86"/>
      <c r="G176" s="86"/>
      <c r="H176" s="86"/>
      <c r="I176" s="86"/>
      <c r="J176" s="86"/>
      <c r="K176" s="86"/>
      <c r="L176" s="86"/>
      <c r="M176" s="86"/>
    </row>
    <row r="177" spans="1:14" ht="18" customHeight="1" x14ac:dyDescent="0.3">
      <c r="A177" s="61" t="s">
        <v>621</v>
      </c>
      <c r="C177" s="86"/>
      <c r="D177" s="86"/>
      <c r="E177" s="86"/>
      <c r="F177" s="86"/>
      <c r="G177" s="86"/>
      <c r="H177" s="86"/>
      <c r="I177" s="86"/>
      <c r="J177" s="86"/>
      <c r="K177" s="86"/>
      <c r="L177" s="86"/>
      <c r="M177" s="86"/>
    </row>
    <row r="178" spans="1:14" ht="18" customHeight="1" x14ac:dyDescent="0.3">
      <c r="A178" s="61" t="s">
        <v>622</v>
      </c>
      <c r="C178" s="93"/>
      <c r="D178" s="86"/>
      <c r="E178" s="93"/>
      <c r="F178" s="86"/>
      <c r="G178" s="93"/>
      <c r="H178" s="86"/>
      <c r="I178" s="93"/>
      <c r="J178" s="86"/>
      <c r="K178" s="93"/>
      <c r="L178" s="86"/>
      <c r="M178" s="93">
        <f>+C178+E178-G178</f>
        <v>0</v>
      </c>
    </row>
    <row r="179" spans="1:14" ht="18" customHeight="1" x14ac:dyDescent="0.3">
      <c r="C179" s="85"/>
      <c r="D179" s="86"/>
      <c r="E179" s="85"/>
      <c r="F179" s="86"/>
      <c r="G179" s="85"/>
      <c r="H179" s="86"/>
      <c r="I179" s="85"/>
      <c r="J179" s="86"/>
      <c r="K179" s="85"/>
      <c r="L179" s="86"/>
      <c r="M179" s="85"/>
    </row>
    <row r="180" spans="1:14" ht="18" customHeight="1" x14ac:dyDescent="0.3">
      <c r="A180" s="61" t="s">
        <v>623</v>
      </c>
      <c r="C180" s="86"/>
      <c r="D180" s="86"/>
      <c r="E180" s="85"/>
      <c r="F180" s="85"/>
      <c r="G180" s="85"/>
      <c r="H180" s="86"/>
      <c r="I180" s="86"/>
      <c r="J180" s="86"/>
      <c r="K180" s="86"/>
      <c r="L180" s="86"/>
      <c r="M180" s="86"/>
    </row>
    <row r="181" spans="1:14" ht="18" customHeight="1" x14ac:dyDescent="0.3">
      <c r="A181" s="61" t="s">
        <v>624</v>
      </c>
      <c r="C181" s="93"/>
      <c r="D181" s="86"/>
      <c r="E181" s="93"/>
      <c r="F181" s="86"/>
      <c r="G181" s="93"/>
      <c r="H181" s="86"/>
      <c r="I181" s="93"/>
      <c r="J181" s="86"/>
      <c r="K181" s="93"/>
      <c r="L181" s="86"/>
      <c r="M181" s="93">
        <f>+C181+E181-G181</f>
        <v>0</v>
      </c>
    </row>
    <row r="182" spans="1:14" ht="18" customHeight="1" x14ac:dyDescent="0.3">
      <c r="A182" s="61" t="s">
        <v>625</v>
      </c>
      <c r="C182" s="93"/>
      <c r="D182" s="86"/>
      <c r="E182" s="93"/>
      <c r="F182" s="86"/>
      <c r="G182" s="93"/>
      <c r="H182" s="86"/>
      <c r="I182" s="93"/>
      <c r="J182" s="86"/>
      <c r="K182" s="93"/>
      <c r="L182" s="86"/>
      <c r="M182" s="93">
        <f>+C182+E182-G182</f>
        <v>0</v>
      </c>
    </row>
    <row r="183" spans="1:14" ht="18" customHeight="1" x14ac:dyDescent="0.3">
      <c r="C183" s="86"/>
      <c r="D183" s="86"/>
      <c r="E183" s="86"/>
      <c r="F183" s="86"/>
      <c r="G183" s="86"/>
      <c r="H183" s="86"/>
      <c r="I183" s="86"/>
      <c r="J183" s="86"/>
      <c r="K183" s="86"/>
      <c r="L183" s="86"/>
      <c r="M183" s="86"/>
    </row>
    <row r="184" spans="1:14" ht="18" customHeight="1" x14ac:dyDescent="0.3">
      <c r="A184" s="61" t="s">
        <v>626</v>
      </c>
      <c r="C184" s="86"/>
      <c r="D184" s="86"/>
      <c r="E184" s="86"/>
      <c r="F184" s="86"/>
      <c r="G184" s="86"/>
      <c r="H184" s="86"/>
      <c r="I184" s="86"/>
      <c r="J184" s="86"/>
      <c r="K184" s="86"/>
      <c r="L184" s="86"/>
      <c r="M184" s="86"/>
    </row>
    <row r="185" spans="1:14" ht="18" customHeight="1" x14ac:dyDescent="0.3">
      <c r="A185" s="61" t="s">
        <v>627</v>
      </c>
      <c r="C185" s="93"/>
      <c r="D185" s="86"/>
      <c r="E185" s="93"/>
      <c r="F185" s="86"/>
      <c r="G185" s="93"/>
      <c r="H185" s="86"/>
      <c r="I185" s="93"/>
      <c r="J185" s="86"/>
      <c r="K185" s="93"/>
      <c r="L185" s="86"/>
      <c r="M185" s="93">
        <f>+C185+E185-G185</f>
        <v>0</v>
      </c>
    </row>
    <row r="186" spans="1:14" ht="18" customHeight="1" x14ac:dyDescent="0.3">
      <c r="A186" s="61" t="s">
        <v>628</v>
      </c>
      <c r="C186" s="93"/>
      <c r="D186" s="86"/>
      <c r="E186" s="93"/>
      <c r="F186" s="86"/>
      <c r="G186" s="93"/>
      <c r="H186" s="86"/>
      <c r="I186" s="93"/>
      <c r="J186" s="86"/>
      <c r="K186" s="93"/>
      <c r="L186" s="86"/>
      <c r="M186" s="93">
        <f>+C186+E186-G186</f>
        <v>0</v>
      </c>
    </row>
    <row r="187" spans="1:14" ht="18" customHeight="1" x14ac:dyDescent="0.3">
      <c r="C187" s="86"/>
      <c r="D187" s="86"/>
      <c r="E187" s="86"/>
      <c r="F187" s="86"/>
      <c r="G187" s="86"/>
      <c r="H187" s="86"/>
      <c r="I187" s="86"/>
      <c r="J187" s="86"/>
      <c r="K187" s="86"/>
      <c r="L187" s="86"/>
      <c r="M187" s="86"/>
    </row>
    <row r="188" spans="1:14" ht="18" customHeight="1" x14ac:dyDescent="0.3">
      <c r="A188" s="61" t="s">
        <v>629</v>
      </c>
      <c r="C188" s="93"/>
      <c r="D188" s="86"/>
      <c r="E188" s="93"/>
      <c r="F188" s="86"/>
      <c r="G188" s="93"/>
      <c r="H188" s="86"/>
      <c r="I188" s="93"/>
      <c r="J188" s="86"/>
      <c r="K188" s="93"/>
      <c r="L188" s="86"/>
      <c r="M188" s="93">
        <f>+C188+E188-G188</f>
        <v>0</v>
      </c>
    </row>
    <row r="189" spans="1:14" ht="18" customHeight="1" x14ac:dyDescent="0.3">
      <c r="C189" s="86"/>
      <c r="D189" s="86"/>
      <c r="E189" s="86"/>
      <c r="F189" s="86"/>
      <c r="G189" s="86"/>
      <c r="H189" s="86"/>
      <c r="I189" s="86"/>
      <c r="J189" s="86"/>
      <c r="K189" s="86"/>
      <c r="L189" s="86"/>
      <c r="M189" s="86"/>
    </row>
    <row r="190" spans="1:14" ht="18" customHeight="1" x14ac:dyDescent="0.3">
      <c r="A190" s="61" t="s">
        <v>630</v>
      </c>
      <c r="C190" s="93"/>
      <c r="D190" s="86"/>
      <c r="E190" s="93"/>
      <c r="F190" s="86"/>
      <c r="G190" s="93"/>
      <c r="H190" s="86"/>
      <c r="I190" s="93"/>
      <c r="J190" s="86"/>
      <c r="K190" s="93"/>
      <c r="L190" s="86"/>
      <c r="M190" s="93">
        <f>+C190+E190-G190</f>
        <v>0</v>
      </c>
    </row>
    <row r="191" spans="1:14" ht="18" customHeight="1" x14ac:dyDescent="0.3">
      <c r="C191" s="86"/>
      <c r="D191" s="86"/>
      <c r="E191" s="86"/>
      <c r="F191" s="86"/>
      <c r="G191" s="86"/>
      <c r="H191" s="86"/>
      <c r="I191" s="86"/>
      <c r="J191" s="86"/>
      <c r="K191" s="86"/>
      <c r="L191" s="86"/>
      <c r="M191" s="86"/>
    </row>
    <row r="192" spans="1:14" ht="18" customHeight="1" x14ac:dyDescent="0.3">
      <c r="A192" s="61" t="s">
        <v>631</v>
      </c>
      <c r="C192" s="89">
        <f>SUM(C178:C190)</f>
        <v>0</v>
      </c>
      <c r="D192" s="86"/>
      <c r="E192" s="89">
        <f>SUM(E178:E190)</f>
        <v>0</v>
      </c>
      <c r="F192" s="86"/>
      <c r="G192" s="89">
        <f>SUM(G178:G190)</f>
        <v>0</v>
      </c>
      <c r="H192" s="86"/>
      <c r="I192" s="89"/>
      <c r="J192" s="86"/>
      <c r="K192" s="89"/>
      <c r="L192" s="86"/>
      <c r="M192" s="89">
        <f>SUM(M178:M190)</f>
        <v>0</v>
      </c>
      <c r="N192" s="167" t="s">
        <v>331</v>
      </c>
    </row>
    <row r="193" spans="1:13" ht="18" customHeight="1" x14ac:dyDescent="0.3">
      <c r="C193" s="86"/>
      <c r="D193" s="86"/>
      <c r="E193" s="86"/>
      <c r="F193" s="86"/>
      <c r="G193" s="86"/>
      <c r="H193" s="86"/>
      <c r="I193" s="86"/>
      <c r="J193" s="86"/>
      <c r="K193" s="86"/>
      <c r="L193" s="86"/>
      <c r="M193" s="86"/>
    </row>
    <row r="194" spans="1:13" ht="18" customHeight="1" x14ac:dyDescent="0.3">
      <c r="A194" s="61" t="s">
        <v>632</v>
      </c>
      <c r="C194" s="86"/>
      <c r="D194" s="86"/>
      <c r="E194" s="86"/>
      <c r="F194" s="86"/>
      <c r="G194" s="86"/>
      <c r="H194" s="86"/>
      <c r="I194" s="86"/>
      <c r="J194" s="86"/>
      <c r="K194" s="86"/>
      <c r="L194" s="86"/>
      <c r="M194" s="86"/>
    </row>
    <row r="195" spans="1:13" ht="18" customHeight="1" x14ac:dyDescent="0.3">
      <c r="A195" s="61" t="s">
        <v>633</v>
      </c>
      <c r="C195" s="86"/>
      <c r="D195" s="86"/>
      <c r="E195" s="86"/>
      <c r="F195" s="86"/>
      <c r="G195" s="86"/>
      <c r="H195" s="86"/>
      <c r="I195" s="86"/>
      <c r="J195" s="86"/>
      <c r="K195" s="86"/>
      <c r="L195" s="86"/>
      <c r="M195" s="86"/>
    </row>
    <row r="196" spans="1:13" ht="18" customHeight="1" x14ac:dyDescent="0.3">
      <c r="A196" s="61" t="s">
        <v>634</v>
      </c>
      <c r="C196" s="93"/>
      <c r="D196" s="86"/>
      <c r="E196" s="93"/>
      <c r="F196" s="86"/>
      <c r="G196" s="93"/>
      <c r="H196" s="86"/>
      <c r="I196" s="93"/>
      <c r="J196" s="86"/>
      <c r="K196" s="93"/>
      <c r="L196" s="86"/>
      <c r="M196" s="93">
        <f>+C196+E196-G196</f>
        <v>0</v>
      </c>
    </row>
    <row r="197" spans="1:13" ht="18" customHeight="1" x14ac:dyDescent="0.3">
      <c r="A197" s="61" t="s">
        <v>635</v>
      </c>
      <c r="C197" s="93"/>
      <c r="D197" s="86"/>
      <c r="E197" s="93"/>
      <c r="F197" s="86"/>
      <c r="G197" s="93"/>
      <c r="H197" s="86"/>
      <c r="I197" s="93"/>
      <c r="J197" s="86"/>
      <c r="K197" s="93"/>
      <c r="L197" s="86"/>
      <c r="M197" s="93">
        <f>+C197+E197-G197</f>
        <v>0</v>
      </c>
    </row>
    <row r="198" spans="1:13" ht="18" customHeight="1" x14ac:dyDescent="0.3">
      <c r="A198" s="61" t="s">
        <v>636</v>
      </c>
      <c r="C198" s="93"/>
      <c r="D198" s="86"/>
      <c r="E198" s="93"/>
      <c r="F198" s="86"/>
      <c r="G198" s="93"/>
      <c r="H198" s="86"/>
      <c r="I198" s="93"/>
      <c r="J198" s="86"/>
      <c r="K198" s="93"/>
      <c r="L198" s="86"/>
      <c r="M198" s="93">
        <f>+C198+E198-G198</f>
        <v>0</v>
      </c>
    </row>
    <row r="199" spans="1:13" ht="18" customHeight="1" x14ac:dyDescent="0.3">
      <c r="A199" s="61" t="s">
        <v>637</v>
      </c>
      <c r="C199" s="93"/>
      <c r="D199" s="86"/>
      <c r="E199" s="93"/>
      <c r="F199" s="86"/>
      <c r="G199" s="93"/>
      <c r="H199" s="86"/>
      <c r="I199" s="93"/>
      <c r="J199" s="86"/>
      <c r="K199" s="93"/>
      <c r="L199" s="86"/>
      <c r="M199" s="93">
        <f>+C199+E199-G199</f>
        <v>0</v>
      </c>
    </row>
    <row r="200" spans="1:13" ht="18" customHeight="1" x14ac:dyDescent="0.3">
      <c r="A200" s="61" t="s">
        <v>638</v>
      </c>
      <c r="C200" s="93"/>
      <c r="D200" s="86"/>
      <c r="E200" s="93"/>
      <c r="F200" s="86"/>
      <c r="G200" s="93"/>
      <c r="H200" s="86"/>
      <c r="I200" s="93"/>
      <c r="J200" s="86"/>
      <c r="K200" s="93"/>
      <c r="L200" s="86"/>
      <c r="M200" s="93">
        <f>+C200+E200-G200</f>
        <v>0</v>
      </c>
    </row>
    <row r="201" spans="1:13" ht="18" customHeight="1" x14ac:dyDescent="0.3">
      <c r="C201" s="86"/>
      <c r="D201" s="86"/>
      <c r="E201" s="86"/>
      <c r="F201" s="86"/>
      <c r="G201" s="86"/>
      <c r="H201" s="86"/>
      <c r="I201" s="86"/>
      <c r="J201" s="86"/>
      <c r="K201" s="86"/>
      <c r="L201" s="86"/>
      <c r="M201" s="86"/>
    </row>
    <row r="202" spans="1:13" ht="18" customHeight="1" x14ac:dyDescent="0.3">
      <c r="A202" s="61" t="s">
        <v>639</v>
      </c>
      <c r="C202" s="86"/>
      <c r="D202" s="86"/>
      <c r="E202" s="86"/>
      <c r="F202" s="86"/>
      <c r="G202" s="86"/>
      <c r="H202" s="86"/>
      <c r="I202" s="86"/>
      <c r="J202" s="86"/>
      <c r="K202" s="86"/>
      <c r="L202" s="86"/>
      <c r="M202" s="86"/>
    </row>
    <row r="203" spans="1:13" ht="18" customHeight="1" x14ac:dyDescent="0.3">
      <c r="A203" s="61" t="s">
        <v>640</v>
      </c>
      <c r="C203" s="93"/>
      <c r="D203" s="86"/>
      <c r="E203" s="93"/>
      <c r="F203" s="86"/>
      <c r="G203" s="93"/>
      <c r="H203" s="86"/>
      <c r="I203" s="93"/>
      <c r="J203" s="86"/>
      <c r="K203" s="93"/>
      <c r="L203" s="86"/>
      <c r="M203" s="93">
        <f t="shared" ref="M203:M209" si="7">+C203+E203-G203</f>
        <v>0</v>
      </c>
    </row>
    <row r="204" spans="1:13" ht="18" customHeight="1" x14ac:dyDescent="0.3">
      <c r="A204" s="61" t="s">
        <v>641</v>
      </c>
      <c r="C204" s="93"/>
      <c r="D204" s="86"/>
      <c r="E204" s="93"/>
      <c r="F204" s="86"/>
      <c r="G204" s="93"/>
      <c r="H204" s="86"/>
      <c r="I204" s="93"/>
      <c r="J204" s="86"/>
      <c r="K204" s="93"/>
      <c r="L204" s="86"/>
      <c r="M204" s="93">
        <f t="shared" si="7"/>
        <v>0</v>
      </c>
    </row>
    <row r="205" spans="1:13" ht="18" customHeight="1" x14ac:dyDescent="0.3">
      <c r="A205" s="61" t="s">
        <v>642</v>
      </c>
      <c r="C205" s="93"/>
      <c r="D205" s="86"/>
      <c r="E205" s="93"/>
      <c r="F205" s="86"/>
      <c r="G205" s="93"/>
      <c r="H205" s="86"/>
      <c r="I205" s="93"/>
      <c r="J205" s="86"/>
      <c r="K205" s="93"/>
      <c r="L205" s="86"/>
      <c r="M205" s="93">
        <f t="shared" si="7"/>
        <v>0</v>
      </c>
    </row>
    <row r="206" spans="1:13" ht="18" customHeight="1" x14ac:dyDescent="0.3">
      <c r="A206" s="61" t="s">
        <v>643</v>
      </c>
      <c r="C206" s="93"/>
      <c r="D206" s="86"/>
      <c r="E206" s="93"/>
      <c r="F206" s="86"/>
      <c r="G206" s="93"/>
      <c r="H206" s="86"/>
      <c r="I206" s="93"/>
      <c r="J206" s="86"/>
      <c r="K206" s="93"/>
      <c r="L206" s="86"/>
      <c r="M206" s="93">
        <f t="shared" si="7"/>
        <v>0</v>
      </c>
    </row>
    <row r="207" spans="1:13" ht="18" customHeight="1" x14ac:dyDescent="0.3">
      <c r="A207" s="61" t="s">
        <v>644</v>
      </c>
      <c r="C207" s="93"/>
      <c r="D207" s="86"/>
      <c r="E207" s="93"/>
      <c r="F207" s="86"/>
      <c r="G207" s="93"/>
      <c r="H207" s="86"/>
      <c r="I207" s="93"/>
      <c r="J207" s="86"/>
      <c r="K207" s="93"/>
      <c r="L207" s="86"/>
      <c r="M207" s="93">
        <f t="shared" si="7"/>
        <v>0</v>
      </c>
    </row>
    <row r="208" spans="1:13" ht="18" customHeight="1" x14ac:dyDescent="0.3">
      <c r="A208" s="61" t="s">
        <v>645</v>
      </c>
      <c r="C208" s="93"/>
      <c r="D208" s="86"/>
      <c r="E208" s="93"/>
      <c r="F208" s="86"/>
      <c r="G208" s="93"/>
      <c r="H208" s="86"/>
      <c r="I208" s="93"/>
      <c r="J208" s="86"/>
      <c r="K208" s="93"/>
      <c r="L208" s="86"/>
      <c r="M208" s="93">
        <f t="shared" si="7"/>
        <v>0</v>
      </c>
    </row>
    <row r="209" spans="1:13" ht="18" customHeight="1" x14ac:dyDescent="0.3">
      <c r="A209" s="61" t="s">
        <v>646</v>
      </c>
      <c r="C209" s="93"/>
      <c r="D209" s="86"/>
      <c r="E209" s="93"/>
      <c r="F209" s="86"/>
      <c r="G209" s="93"/>
      <c r="H209" s="86"/>
      <c r="I209" s="93"/>
      <c r="J209" s="86"/>
      <c r="K209" s="93"/>
      <c r="L209" s="86"/>
      <c r="M209" s="93">
        <f t="shared" si="7"/>
        <v>0</v>
      </c>
    </row>
    <row r="210" spans="1:13" ht="18" customHeight="1" x14ac:dyDescent="0.3">
      <c r="C210" s="86"/>
      <c r="D210" s="86"/>
      <c r="E210" s="86"/>
      <c r="F210" s="86"/>
      <c r="G210" s="86"/>
      <c r="H210" s="86"/>
      <c r="I210" s="86"/>
      <c r="J210" s="86"/>
      <c r="K210" s="86"/>
      <c r="L210" s="86"/>
      <c r="M210" s="86"/>
    </row>
    <row r="211" spans="1:13" ht="18" customHeight="1" x14ac:dyDescent="0.3">
      <c r="A211" s="61" t="s">
        <v>647</v>
      </c>
      <c r="C211" s="86"/>
      <c r="D211" s="86"/>
      <c r="E211" s="86"/>
      <c r="F211" s="86"/>
      <c r="G211" s="86"/>
      <c r="H211" s="86"/>
      <c r="I211" s="86"/>
      <c r="J211" s="86"/>
      <c r="K211" s="86"/>
      <c r="L211" s="86"/>
      <c r="M211" s="86"/>
    </row>
    <row r="212" spans="1:13" ht="18" customHeight="1" x14ac:dyDescent="0.3">
      <c r="A212" s="61" t="s">
        <v>648</v>
      </c>
      <c r="C212" s="93"/>
      <c r="D212" s="86"/>
      <c r="E212" s="93"/>
      <c r="F212" s="86"/>
      <c r="G212" s="93"/>
      <c r="H212" s="86"/>
      <c r="I212" s="93"/>
      <c r="J212" s="86"/>
      <c r="K212" s="93"/>
      <c r="L212" s="86"/>
      <c r="M212" s="93">
        <f>+C212+E212-G212</f>
        <v>0</v>
      </c>
    </row>
    <row r="213" spans="1:13" ht="18" customHeight="1" x14ac:dyDescent="0.3">
      <c r="A213" s="61" t="s">
        <v>649</v>
      </c>
      <c r="C213" s="93"/>
      <c r="D213" s="86"/>
      <c r="E213" s="93"/>
      <c r="F213" s="86"/>
      <c r="G213" s="93"/>
      <c r="H213" s="86"/>
      <c r="I213" s="93"/>
      <c r="J213" s="86"/>
      <c r="K213" s="93"/>
      <c r="L213" s="86"/>
      <c r="M213" s="93">
        <f>+C213+E213-G213</f>
        <v>0</v>
      </c>
    </row>
    <row r="214" spans="1:13" ht="18" customHeight="1" x14ac:dyDescent="0.3">
      <c r="A214" s="61" t="s">
        <v>650</v>
      </c>
      <c r="C214" s="93"/>
      <c r="D214" s="86"/>
      <c r="E214" s="93"/>
      <c r="F214" s="86"/>
      <c r="G214" s="93"/>
      <c r="H214" s="86"/>
      <c r="I214" s="93"/>
      <c r="J214" s="86"/>
      <c r="K214" s="93"/>
      <c r="L214" s="86"/>
      <c r="M214" s="93">
        <f>+C214+E214-G214</f>
        <v>0</v>
      </c>
    </row>
    <row r="215" spans="1:13" ht="18" customHeight="1" x14ac:dyDescent="0.3">
      <c r="A215" s="61" t="s">
        <v>651</v>
      </c>
      <c r="C215" s="93"/>
      <c r="D215" s="86"/>
      <c r="E215" s="93"/>
      <c r="F215" s="86"/>
      <c r="G215" s="93"/>
      <c r="H215" s="86"/>
      <c r="I215" s="93"/>
      <c r="J215" s="86"/>
      <c r="K215" s="93"/>
      <c r="L215" s="86"/>
      <c r="M215" s="93">
        <f>+C215+E215-G215</f>
        <v>0</v>
      </c>
    </row>
    <row r="216" spans="1:13" ht="18" customHeight="1" x14ac:dyDescent="0.3">
      <c r="A216" s="61" t="s">
        <v>652</v>
      </c>
      <c r="C216" s="93"/>
      <c r="D216" s="86"/>
      <c r="E216" s="93"/>
      <c r="F216" s="86"/>
      <c r="G216" s="93"/>
      <c r="H216" s="86"/>
      <c r="I216" s="93"/>
      <c r="J216" s="86"/>
      <c r="K216" s="93"/>
      <c r="L216" s="86"/>
      <c r="M216" s="93">
        <f>+C216+E216-G216</f>
        <v>0</v>
      </c>
    </row>
    <row r="217" spans="1:13" ht="18" customHeight="1" x14ac:dyDescent="0.3">
      <c r="C217" s="86"/>
      <c r="D217" s="86"/>
      <c r="E217" s="86"/>
      <c r="F217" s="86"/>
      <c r="G217" s="86"/>
      <c r="H217" s="86"/>
      <c r="I217" s="86"/>
      <c r="J217" s="86"/>
      <c r="K217" s="86"/>
      <c r="L217" s="86"/>
      <c r="M217" s="86"/>
    </row>
    <row r="218" spans="1:13" ht="18" customHeight="1" x14ac:dyDescent="0.3">
      <c r="A218" s="61" t="s">
        <v>653</v>
      </c>
      <c r="C218" s="86"/>
      <c r="D218" s="86"/>
      <c r="E218" s="86"/>
      <c r="F218" s="86"/>
      <c r="G218" s="86"/>
      <c r="H218" s="86"/>
      <c r="I218" s="86"/>
      <c r="J218" s="86"/>
      <c r="K218" s="86"/>
      <c r="L218" s="86"/>
      <c r="M218" s="86"/>
    </row>
    <row r="219" spans="1:13" ht="18" customHeight="1" x14ac:dyDescent="0.3">
      <c r="A219" s="61" t="s">
        <v>654</v>
      </c>
      <c r="C219" s="93"/>
      <c r="D219" s="86"/>
      <c r="E219" s="93"/>
      <c r="F219" s="86"/>
      <c r="G219" s="93"/>
      <c r="H219" s="86"/>
      <c r="I219" s="93"/>
      <c r="J219" s="86"/>
      <c r="K219" s="93"/>
      <c r="L219" s="86"/>
      <c r="M219" s="93">
        <f t="shared" ref="M219:M224" si="8">+C219+E219-G219</f>
        <v>0</v>
      </c>
    </row>
    <row r="220" spans="1:13" ht="18" customHeight="1" x14ac:dyDescent="0.3">
      <c r="A220" s="61" t="s">
        <v>655</v>
      </c>
      <c r="C220" s="93"/>
      <c r="D220" s="86"/>
      <c r="E220" s="93"/>
      <c r="F220" s="86"/>
      <c r="G220" s="93"/>
      <c r="H220" s="86"/>
      <c r="I220" s="93"/>
      <c r="J220" s="86"/>
      <c r="K220" s="93"/>
      <c r="L220" s="86"/>
      <c r="M220" s="93">
        <f t="shared" si="8"/>
        <v>0</v>
      </c>
    </row>
    <row r="221" spans="1:13" ht="18" customHeight="1" x14ac:dyDescent="0.3">
      <c r="A221" s="61" t="s">
        <v>656</v>
      </c>
      <c r="C221" s="93"/>
      <c r="D221" s="86"/>
      <c r="E221" s="93"/>
      <c r="F221" s="86"/>
      <c r="G221" s="93"/>
      <c r="H221" s="86"/>
      <c r="I221" s="93"/>
      <c r="J221" s="86"/>
      <c r="K221" s="93"/>
      <c r="L221" s="86"/>
      <c r="M221" s="93">
        <f t="shared" si="8"/>
        <v>0</v>
      </c>
    </row>
    <row r="222" spans="1:13" ht="18" customHeight="1" x14ac:dyDescent="0.3">
      <c r="A222" s="61" t="s">
        <v>657</v>
      </c>
      <c r="C222" s="93"/>
      <c r="D222" s="86"/>
      <c r="E222" s="93"/>
      <c r="F222" s="86"/>
      <c r="G222" s="93"/>
      <c r="H222" s="86"/>
      <c r="I222" s="93"/>
      <c r="J222" s="86"/>
      <c r="K222" s="93"/>
      <c r="L222" s="86"/>
      <c r="M222" s="93">
        <f t="shared" si="8"/>
        <v>0</v>
      </c>
    </row>
    <row r="223" spans="1:13" ht="18" customHeight="1" x14ac:dyDescent="0.3">
      <c r="A223" s="61" t="s">
        <v>658</v>
      </c>
      <c r="C223" s="93"/>
      <c r="D223" s="86"/>
      <c r="E223" s="93"/>
      <c r="F223" s="86"/>
      <c r="G223" s="93"/>
      <c r="H223" s="86"/>
      <c r="I223" s="93"/>
      <c r="J223" s="86"/>
      <c r="K223" s="93"/>
      <c r="L223" s="86"/>
      <c r="M223" s="93">
        <f t="shared" si="8"/>
        <v>0</v>
      </c>
    </row>
    <row r="224" spans="1:13" ht="18" customHeight="1" x14ac:dyDescent="0.3">
      <c r="A224" s="61" t="s">
        <v>659</v>
      </c>
      <c r="C224" s="93"/>
      <c r="D224" s="86"/>
      <c r="E224" s="93"/>
      <c r="F224" s="86"/>
      <c r="G224" s="93"/>
      <c r="H224" s="86"/>
      <c r="I224" s="93"/>
      <c r="J224" s="86"/>
      <c r="K224" s="93"/>
      <c r="L224" s="86"/>
      <c r="M224" s="93">
        <f t="shared" si="8"/>
        <v>0</v>
      </c>
    </row>
    <row r="225" spans="1:14" ht="18" customHeight="1" x14ac:dyDescent="0.3">
      <c r="C225" s="86"/>
      <c r="D225" s="86"/>
      <c r="E225" s="86"/>
      <c r="F225" s="86"/>
      <c r="G225" s="86"/>
      <c r="H225" s="86"/>
      <c r="I225" s="86"/>
      <c r="J225" s="86"/>
      <c r="K225" s="86"/>
      <c r="L225" s="86"/>
      <c r="M225" s="86"/>
    </row>
    <row r="226" spans="1:14" ht="18" customHeight="1" x14ac:dyDescent="0.3">
      <c r="A226" s="61" t="s">
        <v>660</v>
      </c>
      <c r="C226" s="89">
        <f>SUM(C196:C224)</f>
        <v>0</v>
      </c>
      <c r="D226" s="86"/>
      <c r="E226" s="89">
        <f>SUM(E196:E224)</f>
        <v>0</v>
      </c>
      <c r="F226" s="86"/>
      <c r="G226" s="89">
        <f>SUM(G196:G224)</f>
        <v>0</v>
      </c>
      <c r="H226" s="86"/>
      <c r="I226" s="89"/>
      <c r="J226" s="86"/>
      <c r="K226" s="89"/>
      <c r="L226" s="86"/>
      <c r="M226" s="89">
        <f>SUM(M196:M224)</f>
        <v>0</v>
      </c>
      <c r="N226" s="167" t="s">
        <v>332</v>
      </c>
    </row>
    <row r="227" spans="1:14" ht="18" customHeight="1" x14ac:dyDescent="0.3">
      <c r="C227" s="86"/>
      <c r="D227" s="86"/>
      <c r="E227" s="86"/>
      <c r="F227" s="86"/>
      <c r="G227" s="86"/>
      <c r="H227" s="86"/>
      <c r="I227" s="86"/>
      <c r="J227" s="86"/>
      <c r="K227" s="86"/>
      <c r="L227" s="86"/>
      <c r="M227" s="86"/>
    </row>
    <row r="228" spans="1:14" ht="18" customHeight="1" x14ac:dyDescent="0.3">
      <c r="A228" s="61" t="s">
        <v>661</v>
      </c>
      <c r="C228" s="86"/>
      <c r="D228" s="86"/>
      <c r="E228" s="86"/>
      <c r="F228" s="86"/>
      <c r="G228" s="86"/>
      <c r="H228" s="86"/>
      <c r="I228" s="86"/>
      <c r="J228" s="86"/>
      <c r="K228" s="86"/>
      <c r="L228" s="86"/>
      <c r="M228" s="86"/>
    </row>
    <row r="229" spans="1:14" ht="18" customHeight="1" x14ac:dyDescent="0.3">
      <c r="A229" s="61" t="s">
        <v>662</v>
      </c>
      <c r="C229" s="86"/>
      <c r="D229" s="86"/>
      <c r="E229" s="86"/>
      <c r="F229" s="86"/>
      <c r="G229" s="86"/>
      <c r="H229" s="86"/>
      <c r="I229" s="86"/>
      <c r="J229" s="86"/>
      <c r="K229" s="86"/>
      <c r="L229" s="86"/>
      <c r="M229" s="86"/>
    </row>
    <row r="230" spans="1:14" ht="18" customHeight="1" x14ac:dyDescent="0.3">
      <c r="A230" s="61" t="s">
        <v>663</v>
      </c>
      <c r="C230" s="93"/>
      <c r="D230" s="86"/>
      <c r="E230" s="93"/>
      <c r="F230" s="86"/>
      <c r="G230" s="93"/>
      <c r="H230" s="86"/>
      <c r="I230" s="93"/>
      <c r="J230" s="86"/>
      <c r="K230" s="93"/>
      <c r="L230" s="86"/>
      <c r="M230" s="93">
        <f t="shared" ref="M230:M236" si="9">+C230+E230-G230</f>
        <v>0</v>
      </c>
    </row>
    <row r="231" spans="1:14" ht="18" customHeight="1" x14ac:dyDescent="0.3">
      <c r="A231" s="61" t="s">
        <v>664</v>
      </c>
      <c r="C231" s="93"/>
      <c r="D231" s="86"/>
      <c r="E231" s="93"/>
      <c r="F231" s="86"/>
      <c r="G231" s="93"/>
      <c r="H231" s="86"/>
      <c r="I231" s="93"/>
      <c r="J231" s="86"/>
      <c r="K231" s="93"/>
      <c r="L231" s="86"/>
      <c r="M231" s="93">
        <f t="shared" si="9"/>
        <v>0</v>
      </c>
    </row>
    <row r="232" spans="1:14" ht="18" customHeight="1" x14ac:dyDescent="0.3">
      <c r="A232" s="61" t="s">
        <v>665</v>
      </c>
      <c r="C232" s="93"/>
      <c r="D232" s="86"/>
      <c r="E232" s="93"/>
      <c r="F232" s="86"/>
      <c r="G232" s="93"/>
      <c r="H232" s="86"/>
      <c r="I232" s="93"/>
      <c r="J232" s="86"/>
      <c r="K232" s="93"/>
      <c r="L232" s="86"/>
      <c r="M232" s="93">
        <f t="shared" si="9"/>
        <v>0</v>
      </c>
    </row>
    <row r="233" spans="1:14" ht="18" customHeight="1" x14ac:dyDescent="0.3">
      <c r="A233" s="61" t="s">
        <v>666</v>
      </c>
      <c r="C233" s="93"/>
      <c r="D233" s="86"/>
      <c r="E233" s="93"/>
      <c r="F233" s="86"/>
      <c r="G233" s="93"/>
      <c r="H233" s="86"/>
      <c r="I233" s="93"/>
      <c r="J233" s="86"/>
      <c r="K233" s="93"/>
      <c r="L233" s="86"/>
      <c r="M233" s="93">
        <f t="shared" si="9"/>
        <v>0</v>
      </c>
    </row>
    <row r="234" spans="1:14" ht="18" customHeight="1" x14ac:dyDescent="0.3">
      <c r="A234" s="61" t="s">
        <v>667</v>
      </c>
      <c r="C234" s="93"/>
      <c r="D234" s="86"/>
      <c r="E234" s="93"/>
      <c r="F234" s="86"/>
      <c r="G234" s="93"/>
      <c r="H234" s="86"/>
      <c r="I234" s="93"/>
      <c r="J234" s="86"/>
      <c r="K234" s="93"/>
      <c r="L234" s="86"/>
      <c r="M234" s="93">
        <f t="shared" si="9"/>
        <v>0</v>
      </c>
    </row>
    <row r="235" spans="1:14" s="324" customFormat="1" ht="18" customHeight="1" x14ac:dyDescent="0.3">
      <c r="A235" s="324" t="s">
        <v>849</v>
      </c>
      <c r="C235" s="93"/>
      <c r="D235" s="86"/>
      <c r="E235" s="93"/>
      <c r="F235" s="86"/>
      <c r="G235" s="93"/>
      <c r="H235" s="86"/>
      <c r="I235" s="93"/>
      <c r="J235" s="86"/>
      <c r="K235" s="93"/>
      <c r="L235" s="86"/>
      <c r="M235" s="93">
        <f t="shared" ref="M235" si="10">+C235+E235-G235</f>
        <v>0</v>
      </c>
      <c r="N235" s="167"/>
    </row>
    <row r="236" spans="1:14" ht="18" customHeight="1" x14ac:dyDescent="0.3">
      <c r="A236" s="61" t="s">
        <v>668</v>
      </c>
      <c r="C236" s="93"/>
      <c r="D236" s="86"/>
      <c r="E236" s="93"/>
      <c r="F236" s="86"/>
      <c r="G236" s="93"/>
      <c r="H236" s="86"/>
      <c r="I236" s="93"/>
      <c r="J236" s="86"/>
      <c r="K236" s="93"/>
      <c r="L236" s="86"/>
      <c r="M236" s="93">
        <f t="shared" si="9"/>
        <v>0</v>
      </c>
    </row>
    <row r="237" spans="1:14" ht="18" customHeight="1" x14ac:dyDescent="0.3">
      <c r="C237" s="86"/>
      <c r="D237" s="86"/>
      <c r="E237" s="86"/>
      <c r="F237" s="86"/>
      <c r="G237" s="86"/>
      <c r="H237" s="86"/>
      <c r="I237" s="86"/>
      <c r="J237" s="86"/>
      <c r="K237" s="86"/>
      <c r="L237" s="86"/>
      <c r="M237" s="86"/>
    </row>
    <row r="238" spans="1:14" ht="18" customHeight="1" x14ac:dyDescent="0.3">
      <c r="A238" s="61" t="s">
        <v>669</v>
      </c>
      <c r="C238" s="86"/>
      <c r="D238" s="86"/>
      <c r="E238" s="86"/>
      <c r="F238" s="86"/>
      <c r="G238" s="86"/>
      <c r="H238" s="86"/>
      <c r="I238" s="86"/>
      <c r="J238" s="86"/>
      <c r="K238" s="86"/>
      <c r="L238" s="86"/>
      <c r="M238" s="86"/>
    </row>
    <row r="239" spans="1:14" ht="18" customHeight="1" x14ac:dyDescent="0.3">
      <c r="A239" s="61" t="s">
        <v>670</v>
      </c>
      <c r="C239" s="93"/>
      <c r="D239" s="86"/>
      <c r="E239" s="93"/>
      <c r="F239" s="86"/>
      <c r="G239" s="93"/>
      <c r="H239" s="86"/>
      <c r="I239" s="93"/>
      <c r="J239" s="86"/>
      <c r="K239" s="93"/>
      <c r="L239" s="86"/>
      <c r="M239" s="93">
        <f t="shared" ref="M239:M244" si="11">+C239+E239-G239</f>
        <v>0</v>
      </c>
    </row>
    <row r="240" spans="1:14" ht="18" customHeight="1" x14ac:dyDescent="0.3">
      <c r="A240" s="61" t="s">
        <v>671</v>
      </c>
      <c r="C240" s="93"/>
      <c r="D240" s="86"/>
      <c r="E240" s="93"/>
      <c r="F240" s="86"/>
      <c r="G240" s="93"/>
      <c r="H240" s="86"/>
      <c r="I240" s="93"/>
      <c r="J240" s="86"/>
      <c r="K240" s="93"/>
      <c r="L240" s="86"/>
      <c r="M240" s="93">
        <f t="shared" si="11"/>
        <v>0</v>
      </c>
    </row>
    <row r="241" spans="1:14" ht="18" customHeight="1" x14ac:dyDescent="0.3">
      <c r="A241" s="61" t="s">
        <v>672</v>
      </c>
      <c r="C241" s="93"/>
      <c r="D241" s="86"/>
      <c r="E241" s="93"/>
      <c r="F241" s="86"/>
      <c r="G241" s="93"/>
      <c r="H241" s="86"/>
      <c r="I241" s="93"/>
      <c r="J241" s="86"/>
      <c r="K241" s="93"/>
      <c r="L241" s="86"/>
      <c r="M241" s="93">
        <f t="shared" si="11"/>
        <v>0</v>
      </c>
    </row>
    <row r="242" spans="1:14" ht="18" customHeight="1" x14ac:dyDescent="0.3">
      <c r="A242" s="61" t="s">
        <v>673</v>
      </c>
      <c r="C242" s="93"/>
      <c r="D242" s="86"/>
      <c r="E242" s="93"/>
      <c r="F242" s="86"/>
      <c r="G242" s="93"/>
      <c r="H242" s="86"/>
      <c r="I242" s="93"/>
      <c r="J242" s="86"/>
      <c r="K242" s="93"/>
      <c r="L242" s="86"/>
      <c r="M242" s="93">
        <f t="shared" si="11"/>
        <v>0</v>
      </c>
    </row>
    <row r="243" spans="1:14" ht="18" customHeight="1" x14ac:dyDescent="0.3">
      <c r="A243" s="61" t="s">
        <v>674</v>
      </c>
      <c r="C243" s="93"/>
      <c r="D243" s="86"/>
      <c r="E243" s="93"/>
      <c r="F243" s="86"/>
      <c r="G243" s="93"/>
      <c r="H243" s="86"/>
      <c r="I243" s="93"/>
      <c r="J243" s="86"/>
      <c r="K243" s="93"/>
      <c r="L243" s="86"/>
      <c r="M243" s="93">
        <f t="shared" si="11"/>
        <v>0</v>
      </c>
    </row>
    <row r="244" spans="1:14" ht="18" customHeight="1" x14ac:dyDescent="0.3">
      <c r="A244" s="61" t="s">
        <v>675</v>
      </c>
      <c r="C244" s="93"/>
      <c r="D244" s="86"/>
      <c r="E244" s="93"/>
      <c r="F244" s="86"/>
      <c r="G244" s="93"/>
      <c r="H244" s="86"/>
      <c r="I244" s="93"/>
      <c r="J244" s="86"/>
      <c r="K244" s="93"/>
      <c r="L244" s="86"/>
      <c r="M244" s="93">
        <f t="shared" si="11"/>
        <v>0</v>
      </c>
    </row>
    <row r="245" spans="1:14" ht="18" customHeight="1" x14ac:dyDescent="0.3">
      <c r="C245" s="86"/>
      <c r="D245" s="86"/>
      <c r="E245" s="86"/>
      <c r="F245" s="86"/>
      <c r="G245" s="86"/>
      <c r="H245" s="86"/>
      <c r="I245" s="86"/>
      <c r="J245" s="86"/>
      <c r="K245" s="86"/>
      <c r="L245" s="86"/>
      <c r="M245" s="86"/>
    </row>
    <row r="246" spans="1:14" ht="18" customHeight="1" x14ac:dyDescent="0.3">
      <c r="A246" s="61" t="s">
        <v>676</v>
      </c>
      <c r="C246" s="89">
        <f>SUM(C230:C244)</f>
        <v>0</v>
      </c>
      <c r="D246" s="86"/>
      <c r="E246" s="89">
        <f>SUM(E230:E244)</f>
        <v>0</v>
      </c>
      <c r="F246" s="86"/>
      <c r="G246" s="89">
        <f>SUM(G230:G244)</f>
        <v>0</v>
      </c>
      <c r="H246" s="86"/>
      <c r="I246" s="89"/>
      <c r="J246" s="86"/>
      <c r="K246" s="89"/>
      <c r="L246" s="86"/>
      <c r="M246" s="89">
        <f>SUM(M230:M244)</f>
        <v>0</v>
      </c>
      <c r="N246" s="167" t="s">
        <v>333</v>
      </c>
    </row>
    <row r="247" spans="1:14" ht="18" customHeight="1" x14ac:dyDescent="0.3">
      <c r="C247" s="86"/>
      <c r="D247" s="86"/>
      <c r="E247" s="86"/>
      <c r="F247" s="86"/>
      <c r="G247" s="86"/>
      <c r="H247" s="86"/>
      <c r="I247" s="86"/>
      <c r="J247" s="86"/>
      <c r="K247" s="86"/>
      <c r="L247" s="86"/>
      <c r="M247" s="86"/>
    </row>
    <row r="248" spans="1:14" ht="18" customHeight="1" x14ac:dyDescent="0.3">
      <c r="A248" s="61" t="s">
        <v>677</v>
      </c>
      <c r="C248" s="86"/>
      <c r="D248" s="86"/>
      <c r="E248" s="86"/>
      <c r="F248" s="86"/>
      <c r="G248" s="86"/>
      <c r="H248" s="86"/>
      <c r="I248" s="86"/>
      <c r="J248" s="86"/>
      <c r="K248" s="86"/>
      <c r="L248" s="86"/>
      <c r="M248" s="86"/>
    </row>
    <row r="249" spans="1:14" ht="18" customHeight="1" x14ac:dyDescent="0.3">
      <c r="A249" s="61" t="s">
        <v>678</v>
      </c>
      <c r="C249" s="86"/>
      <c r="D249" s="86"/>
      <c r="E249" s="86"/>
      <c r="F249" s="86"/>
      <c r="G249" s="86"/>
      <c r="H249" s="86"/>
      <c r="I249" s="86"/>
      <c r="J249" s="86"/>
      <c r="K249" s="86"/>
      <c r="L249" s="86"/>
      <c r="M249" s="86"/>
    </row>
    <row r="250" spans="1:14" ht="18" customHeight="1" x14ac:dyDescent="0.3">
      <c r="A250" s="61" t="s">
        <v>679</v>
      </c>
      <c r="C250" s="93"/>
      <c r="D250" s="86"/>
      <c r="E250" s="93"/>
      <c r="F250" s="86"/>
      <c r="G250" s="93"/>
      <c r="H250" s="86"/>
      <c r="I250" s="93"/>
      <c r="J250" s="86"/>
      <c r="K250" s="93"/>
      <c r="L250" s="86"/>
      <c r="M250" s="93">
        <f t="shared" ref="M250:M256" si="12">+C250+E250-G250</f>
        <v>0</v>
      </c>
    </row>
    <row r="251" spans="1:14" ht="18" customHeight="1" x14ac:dyDescent="0.3">
      <c r="A251" s="61" t="s">
        <v>680</v>
      </c>
      <c r="C251" s="93"/>
      <c r="D251" s="86"/>
      <c r="E251" s="93"/>
      <c r="F251" s="86"/>
      <c r="G251" s="93"/>
      <c r="H251" s="86"/>
      <c r="I251" s="93"/>
      <c r="J251" s="86"/>
      <c r="K251" s="93"/>
      <c r="L251" s="86"/>
      <c r="M251" s="93">
        <f t="shared" si="12"/>
        <v>0</v>
      </c>
    </row>
    <row r="252" spans="1:14" ht="18" customHeight="1" x14ac:dyDescent="0.3">
      <c r="A252" s="61" t="s">
        <v>681</v>
      </c>
      <c r="C252" s="93"/>
      <c r="D252" s="86"/>
      <c r="E252" s="93"/>
      <c r="F252" s="86"/>
      <c r="G252" s="93"/>
      <c r="H252" s="86"/>
      <c r="I252" s="93"/>
      <c r="J252" s="86"/>
      <c r="K252" s="93"/>
      <c r="L252" s="86"/>
      <c r="M252" s="93">
        <f t="shared" si="12"/>
        <v>0</v>
      </c>
    </row>
    <row r="253" spans="1:14" ht="18" customHeight="1" x14ac:dyDescent="0.3">
      <c r="A253" s="61" t="s">
        <v>682</v>
      </c>
      <c r="C253" s="93"/>
      <c r="D253" s="86"/>
      <c r="E253" s="93"/>
      <c r="F253" s="86"/>
      <c r="G253" s="93"/>
      <c r="H253" s="86"/>
      <c r="I253" s="93"/>
      <c r="J253" s="86"/>
      <c r="K253" s="93"/>
      <c r="L253" s="86"/>
      <c r="M253" s="93">
        <f t="shared" si="12"/>
        <v>0</v>
      </c>
    </row>
    <row r="254" spans="1:14" ht="18" customHeight="1" x14ac:dyDescent="0.3">
      <c r="A254" s="61" t="s">
        <v>848</v>
      </c>
      <c r="C254" s="93"/>
      <c r="D254" s="86"/>
      <c r="E254" s="93"/>
      <c r="F254" s="86"/>
      <c r="G254" s="93"/>
      <c r="H254" s="86"/>
      <c r="I254" s="93"/>
      <c r="J254" s="86"/>
      <c r="K254" s="93"/>
      <c r="L254" s="86"/>
      <c r="M254" s="93">
        <f t="shared" si="12"/>
        <v>0</v>
      </c>
    </row>
    <row r="255" spans="1:14" ht="18" customHeight="1" x14ac:dyDescent="0.3">
      <c r="A255" s="61" t="s">
        <v>683</v>
      </c>
      <c r="C255" s="93"/>
      <c r="D255" s="86"/>
      <c r="E255" s="93"/>
      <c r="F255" s="86"/>
      <c r="G255" s="93"/>
      <c r="H255" s="86"/>
      <c r="I255" s="93"/>
      <c r="J255" s="86"/>
      <c r="K255" s="93"/>
      <c r="L255" s="86"/>
      <c r="M255" s="93">
        <f t="shared" si="12"/>
        <v>0</v>
      </c>
    </row>
    <row r="256" spans="1:14" ht="18" customHeight="1" x14ac:dyDescent="0.3">
      <c r="A256" s="61" t="s">
        <v>684</v>
      </c>
      <c r="C256" s="93"/>
      <c r="D256" s="86"/>
      <c r="E256" s="93"/>
      <c r="F256" s="86"/>
      <c r="G256" s="93"/>
      <c r="H256" s="86"/>
      <c r="I256" s="93"/>
      <c r="J256" s="86"/>
      <c r="K256" s="93"/>
      <c r="L256" s="86"/>
      <c r="M256" s="93">
        <f t="shared" si="12"/>
        <v>0</v>
      </c>
    </row>
    <row r="257" spans="1:14" ht="18" customHeight="1" x14ac:dyDescent="0.3">
      <c r="C257" s="86"/>
      <c r="D257" s="86"/>
      <c r="E257" s="86"/>
      <c r="F257" s="86"/>
      <c r="G257" s="86"/>
      <c r="H257" s="86"/>
      <c r="I257" s="86"/>
      <c r="J257" s="86"/>
      <c r="K257" s="86"/>
      <c r="L257" s="86"/>
      <c r="M257" s="86"/>
    </row>
    <row r="258" spans="1:14" ht="18" customHeight="1" x14ac:dyDescent="0.3">
      <c r="A258" s="61" t="s">
        <v>685</v>
      </c>
      <c r="C258" s="86"/>
      <c r="D258" s="86"/>
      <c r="E258" s="86"/>
      <c r="F258" s="86"/>
      <c r="G258" s="86"/>
      <c r="H258" s="86"/>
      <c r="I258" s="86"/>
      <c r="J258" s="86"/>
      <c r="K258" s="86"/>
      <c r="L258" s="86"/>
      <c r="M258" s="86"/>
    </row>
    <row r="259" spans="1:14" ht="18" customHeight="1" x14ac:dyDescent="0.3">
      <c r="A259" s="61" t="s">
        <v>686</v>
      </c>
      <c r="C259" s="93"/>
      <c r="D259" s="86"/>
      <c r="E259" s="93"/>
      <c r="F259" s="86"/>
      <c r="G259" s="93"/>
      <c r="H259" s="86"/>
      <c r="I259" s="93"/>
      <c r="J259" s="86"/>
      <c r="K259" s="93"/>
      <c r="L259" s="86"/>
      <c r="M259" s="93">
        <f>+C259+E259-G259</f>
        <v>0</v>
      </c>
    </row>
    <row r="260" spans="1:14" ht="18" customHeight="1" x14ac:dyDescent="0.3">
      <c r="A260" s="61" t="s">
        <v>687</v>
      </c>
      <c r="C260" s="93"/>
      <c r="D260" s="86"/>
      <c r="E260" s="93"/>
      <c r="F260" s="86"/>
      <c r="G260" s="93"/>
      <c r="H260" s="86"/>
      <c r="I260" s="93"/>
      <c r="J260" s="86"/>
      <c r="K260" s="93"/>
      <c r="L260" s="86"/>
      <c r="M260" s="93">
        <f>+C260+E260-G260</f>
        <v>0</v>
      </c>
    </row>
    <row r="261" spans="1:14" ht="18" customHeight="1" x14ac:dyDescent="0.3">
      <c r="A261" s="61" t="s">
        <v>688</v>
      </c>
      <c r="C261" s="93"/>
      <c r="D261" s="86"/>
      <c r="E261" s="93"/>
      <c r="F261" s="86"/>
      <c r="G261" s="93"/>
      <c r="H261" s="86"/>
      <c r="I261" s="93"/>
      <c r="J261" s="86"/>
      <c r="K261" s="93"/>
      <c r="L261" s="86"/>
      <c r="M261" s="93">
        <f>+C261+E261-G261</f>
        <v>0</v>
      </c>
    </row>
    <row r="262" spans="1:14" ht="18" customHeight="1" x14ac:dyDescent="0.3">
      <c r="A262" s="61" t="s">
        <v>689</v>
      </c>
      <c r="C262" s="93"/>
      <c r="D262" s="86"/>
      <c r="E262" s="93"/>
      <c r="F262" s="86"/>
      <c r="G262" s="93"/>
      <c r="H262" s="86"/>
      <c r="I262" s="93"/>
      <c r="J262" s="86"/>
      <c r="K262" s="93"/>
      <c r="L262" s="86"/>
      <c r="M262" s="93">
        <f>+C262+E262-G262</f>
        <v>0</v>
      </c>
    </row>
    <row r="263" spans="1:14" ht="18" customHeight="1" x14ac:dyDescent="0.3">
      <c r="A263" s="61" t="s">
        <v>690</v>
      </c>
      <c r="C263" s="93"/>
      <c r="D263" s="86"/>
      <c r="E263" s="93"/>
      <c r="F263" s="86"/>
      <c r="G263" s="93"/>
      <c r="H263" s="86"/>
      <c r="I263" s="93"/>
      <c r="J263" s="86"/>
      <c r="K263" s="93"/>
      <c r="L263" s="86"/>
      <c r="M263" s="93">
        <f>+C263+E263-G263</f>
        <v>0</v>
      </c>
    </row>
    <row r="264" spans="1:14" ht="18" customHeight="1" x14ac:dyDescent="0.3">
      <c r="C264" s="86"/>
      <c r="D264" s="86"/>
      <c r="E264" s="86"/>
      <c r="F264" s="86"/>
      <c r="G264" s="86"/>
      <c r="H264" s="86"/>
      <c r="I264" s="86"/>
      <c r="J264" s="86"/>
      <c r="K264" s="86"/>
      <c r="L264" s="86"/>
      <c r="M264" s="86"/>
    </row>
    <row r="265" spans="1:14" ht="18" customHeight="1" x14ac:dyDescent="0.3">
      <c r="A265" s="61" t="s">
        <v>691</v>
      </c>
      <c r="C265" s="89">
        <f>SUM(C250:C263)</f>
        <v>0</v>
      </c>
      <c r="D265" s="86"/>
      <c r="E265" s="89">
        <f>SUM(E250:E263)</f>
        <v>0</v>
      </c>
      <c r="F265" s="86"/>
      <c r="G265" s="89">
        <f>SUM(G250:G263)</f>
        <v>0</v>
      </c>
      <c r="H265" s="86"/>
      <c r="I265" s="89"/>
      <c r="J265" s="86"/>
      <c r="K265" s="89"/>
      <c r="L265" s="86"/>
      <c r="M265" s="89">
        <f>SUM(M250:M263)</f>
        <v>0</v>
      </c>
      <c r="N265" s="167" t="s">
        <v>692</v>
      </c>
    </row>
    <row r="266" spans="1:14" ht="18" customHeight="1" x14ac:dyDescent="0.3">
      <c r="C266" s="86"/>
      <c r="D266" s="86"/>
      <c r="E266" s="86"/>
      <c r="F266" s="86"/>
      <c r="G266" s="86"/>
      <c r="H266" s="86"/>
      <c r="I266" s="86"/>
      <c r="J266" s="86"/>
      <c r="K266" s="86"/>
      <c r="L266" s="86"/>
      <c r="M266" s="86"/>
    </row>
    <row r="267" spans="1:14" ht="18" customHeight="1" x14ac:dyDescent="0.3">
      <c r="A267" s="61" t="s">
        <v>693</v>
      </c>
      <c r="C267" s="86"/>
      <c r="D267" s="86"/>
      <c r="E267" s="86"/>
      <c r="F267" s="86"/>
      <c r="G267" s="86"/>
      <c r="H267" s="86"/>
      <c r="I267" s="86"/>
      <c r="J267" s="86"/>
      <c r="K267" s="86"/>
      <c r="L267" s="86"/>
      <c r="M267" s="86"/>
    </row>
    <row r="268" spans="1:14" ht="18" customHeight="1" x14ac:dyDescent="0.3">
      <c r="A268" s="61" t="s">
        <v>694</v>
      </c>
      <c r="C268" s="86"/>
      <c r="D268" s="86"/>
      <c r="E268" s="86"/>
      <c r="F268" s="86"/>
      <c r="G268" s="86"/>
      <c r="H268" s="86"/>
      <c r="I268" s="86"/>
      <c r="J268" s="86"/>
      <c r="K268" s="86"/>
      <c r="L268" s="86"/>
      <c r="M268" s="86"/>
    </row>
    <row r="269" spans="1:14" ht="18" customHeight="1" x14ac:dyDescent="0.3">
      <c r="A269" s="61" t="s">
        <v>695</v>
      </c>
      <c r="C269" s="93"/>
      <c r="D269" s="86"/>
      <c r="E269" s="93"/>
      <c r="F269" s="86"/>
      <c r="G269" s="93"/>
      <c r="H269" s="86"/>
      <c r="I269" s="93"/>
      <c r="J269" s="86"/>
      <c r="K269" s="93"/>
      <c r="L269" s="86"/>
      <c r="M269" s="93">
        <f>+C269+E269-G269</f>
        <v>0</v>
      </c>
    </row>
    <row r="270" spans="1:14" ht="18" customHeight="1" x14ac:dyDescent="0.3">
      <c r="A270" s="61" t="s">
        <v>696</v>
      </c>
      <c r="C270" s="93"/>
      <c r="D270" s="86"/>
      <c r="E270" s="93"/>
      <c r="F270" s="86"/>
      <c r="G270" s="93"/>
      <c r="H270" s="86"/>
      <c r="I270" s="93"/>
      <c r="J270" s="86"/>
      <c r="K270" s="93"/>
      <c r="L270" s="86"/>
      <c r="M270" s="93">
        <f>+C270+E270-G270</f>
        <v>0</v>
      </c>
    </row>
    <row r="271" spans="1:14" ht="18" customHeight="1" x14ac:dyDescent="0.3">
      <c r="A271" s="61" t="s">
        <v>697</v>
      </c>
      <c r="C271" s="93"/>
      <c r="D271" s="86"/>
      <c r="E271" s="93"/>
      <c r="F271" s="86"/>
      <c r="G271" s="93"/>
      <c r="H271" s="86"/>
      <c r="I271" s="93"/>
      <c r="J271" s="86"/>
      <c r="K271" s="93"/>
      <c r="L271" s="86"/>
      <c r="M271" s="93">
        <f>+C271+E271-G271</f>
        <v>0</v>
      </c>
    </row>
    <row r="272" spans="1:14" ht="18" customHeight="1" x14ac:dyDescent="0.3">
      <c r="A272" s="61" t="s">
        <v>698</v>
      </c>
      <c r="C272" s="86"/>
      <c r="D272" s="86"/>
      <c r="E272" s="86"/>
      <c r="F272" s="86"/>
      <c r="G272" s="86"/>
      <c r="H272" s="86"/>
      <c r="I272" s="86"/>
      <c r="J272" s="86"/>
      <c r="K272" s="86"/>
      <c r="L272" s="86"/>
      <c r="M272" s="86"/>
    </row>
    <row r="273" spans="1:14" ht="18" customHeight="1" x14ac:dyDescent="0.3">
      <c r="A273" s="61" t="s">
        <v>699</v>
      </c>
      <c r="C273" s="86"/>
      <c r="D273" s="86"/>
      <c r="E273" s="86"/>
      <c r="F273" s="86"/>
      <c r="G273" s="86"/>
      <c r="H273" s="86"/>
      <c r="I273" s="86"/>
      <c r="J273" s="86"/>
      <c r="K273" s="86"/>
      <c r="L273" s="86"/>
      <c r="M273" s="86"/>
    </row>
    <row r="274" spans="1:14" ht="18" customHeight="1" x14ac:dyDescent="0.3">
      <c r="A274" s="61" t="s">
        <v>700</v>
      </c>
      <c r="C274" s="93"/>
      <c r="D274" s="86"/>
      <c r="E274" s="93"/>
      <c r="F274" s="86"/>
      <c r="G274" s="93"/>
      <c r="H274" s="86"/>
      <c r="I274" s="93"/>
      <c r="J274" s="86"/>
      <c r="K274" s="93"/>
      <c r="L274" s="86"/>
      <c r="M274" s="93">
        <f>+C274+E274-G274</f>
        <v>0</v>
      </c>
    </row>
    <row r="275" spans="1:14" ht="18" customHeight="1" x14ac:dyDescent="0.3">
      <c r="A275" s="61" t="s">
        <v>701</v>
      </c>
      <c r="C275" s="93"/>
      <c r="D275" s="86"/>
      <c r="E275" s="93"/>
      <c r="F275" s="86"/>
      <c r="G275" s="93"/>
      <c r="H275" s="86"/>
      <c r="I275" s="93"/>
      <c r="J275" s="86"/>
      <c r="K275" s="93"/>
      <c r="L275" s="86"/>
      <c r="M275" s="93">
        <f>+C275+E275-G275</f>
        <v>0</v>
      </c>
    </row>
    <row r="276" spans="1:14" ht="18" customHeight="1" x14ac:dyDescent="0.3">
      <c r="C276" s="86"/>
      <c r="D276" s="86"/>
      <c r="E276" s="86"/>
      <c r="F276" s="86"/>
      <c r="G276" s="86"/>
      <c r="H276" s="86"/>
      <c r="I276" s="86"/>
      <c r="J276" s="86"/>
      <c r="K276" s="86"/>
      <c r="L276" s="86"/>
      <c r="M276" s="86"/>
    </row>
    <row r="277" spans="1:14" ht="18" customHeight="1" x14ac:dyDescent="0.3">
      <c r="A277" s="61" t="s">
        <v>702</v>
      </c>
      <c r="C277" s="89">
        <f>SUM(C269:C275)</f>
        <v>0</v>
      </c>
      <c r="D277" s="86"/>
      <c r="E277" s="89">
        <f>SUM(E269:E275)</f>
        <v>0</v>
      </c>
      <c r="F277" s="86"/>
      <c r="G277" s="89">
        <f>SUM(G269:G275)</f>
        <v>0</v>
      </c>
      <c r="H277" s="86"/>
      <c r="I277" s="89"/>
      <c r="J277" s="86"/>
      <c r="K277" s="89"/>
      <c r="L277" s="86"/>
      <c r="M277" s="89">
        <f>SUM(M269:M275)</f>
        <v>0</v>
      </c>
      <c r="N277" s="167" t="s">
        <v>335</v>
      </c>
    </row>
    <row r="278" spans="1:14" ht="18" customHeight="1" x14ac:dyDescent="0.3">
      <c r="C278" s="86"/>
      <c r="D278" s="86"/>
      <c r="E278" s="86"/>
      <c r="F278" s="86"/>
      <c r="G278" s="86"/>
      <c r="H278" s="86"/>
      <c r="I278" s="86"/>
      <c r="J278" s="86"/>
      <c r="K278" s="86"/>
      <c r="L278" s="86"/>
      <c r="M278" s="86"/>
    </row>
    <row r="279" spans="1:14" ht="18" customHeight="1" x14ac:dyDescent="0.3">
      <c r="A279" s="84" t="s">
        <v>703</v>
      </c>
      <c r="C279" s="89"/>
      <c r="D279" s="86"/>
      <c r="E279" s="89"/>
      <c r="F279" s="86"/>
      <c r="G279" s="89"/>
      <c r="H279" s="86"/>
      <c r="I279" s="89"/>
      <c r="J279" s="86"/>
      <c r="K279" s="89"/>
      <c r="L279" s="86"/>
      <c r="M279" s="89">
        <f>+C279+E279-G279</f>
        <v>0</v>
      </c>
      <c r="N279" s="167" t="s">
        <v>704</v>
      </c>
    </row>
    <row r="280" spans="1:14" ht="18" customHeight="1" x14ac:dyDescent="0.3">
      <c r="C280" s="86"/>
      <c r="D280" s="86"/>
      <c r="E280" s="86"/>
      <c r="F280" s="86"/>
      <c r="G280" s="86"/>
      <c r="H280" s="86"/>
      <c r="I280" s="86"/>
      <c r="J280" s="86"/>
      <c r="K280" s="86"/>
      <c r="L280" s="86"/>
      <c r="M280" s="86"/>
    </row>
    <row r="281" spans="1:14" ht="18" customHeight="1" x14ac:dyDescent="0.3">
      <c r="A281" s="61" t="s">
        <v>705</v>
      </c>
      <c r="C281" s="89"/>
      <c r="D281" s="86"/>
      <c r="E281" s="89"/>
      <c r="F281" s="86"/>
      <c r="G281" s="89"/>
      <c r="H281" s="86"/>
      <c r="I281" s="89"/>
      <c r="J281" s="86"/>
      <c r="K281" s="89"/>
      <c r="L281" s="86"/>
      <c r="M281" s="89">
        <f>+C281+E281-G281</f>
        <v>0</v>
      </c>
      <c r="N281" s="167" t="s">
        <v>706</v>
      </c>
    </row>
    <row r="282" spans="1:14" ht="18" customHeight="1" x14ac:dyDescent="0.3">
      <c r="C282" s="86"/>
      <c r="D282" s="86"/>
      <c r="E282" s="86"/>
      <c r="F282" s="86"/>
      <c r="G282" s="86"/>
      <c r="H282" s="86"/>
      <c r="I282" s="86"/>
      <c r="J282" s="86"/>
      <c r="K282" s="86"/>
      <c r="L282" s="86"/>
      <c r="M282" s="86"/>
    </row>
    <row r="283" spans="1:14" ht="18" customHeight="1" x14ac:dyDescent="0.3">
      <c r="A283" s="61" t="s">
        <v>707</v>
      </c>
      <c r="C283" s="86"/>
      <c r="D283" s="86"/>
      <c r="E283" s="86"/>
      <c r="F283" s="86"/>
      <c r="G283" s="86"/>
      <c r="H283" s="86"/>
      <c r="I283" s="86"/>
      <c r="J283" s="86"/>
      <c r="K283" s="86"/>
      <c r="L283" s="86"/>
      <c r="M283" s="86"/>
    </row>
    <row r="284" spans="1:14" ht="18" customHeight="1" x14ac:dyDescent="0.3">
      <c r="A284" s="61" t="s">
        <v>708</v>
      </c>
      <c r="C284" s="89"/>
      <c r="D284" s="86"/>
      <c r="E284" s="89"/>
      <c r="F284" s="86"/>
      <c r="G284" s="89"/>
      <c r="H284" s="86"/>
      <c r="I284" s="89"/>
      <c r="J284" s="86"/>
      <c r="K284" s="89"/>
      <c r="L284" s="86"/>
      <c r="M284" s="89">
        <f>+C284+E284-G284</f>
        <v>0</v>
      </c>
      <c r="N284" s="167" t="s">
        <v>709</v>
      </c>
    </row>
    <row r="285" spans="1:14" ht="18" customHeight="1" x14ac:dyDescent="0.3">
      <c r="C285" s="86"/>
      <c r="D285" s="86"/>
      <c r="E285" s="86"/>
      <c r="F285" s="86"/>
      <c r="G285" s="86"/>
      <c r="H285" s="86"/>
      <c r="I285" s="86"/>
      <c r="J285" s="86"/>
      <c r="K285" s="86"/>
      <c r="L285" s="86"/>
      <c r="M285" s="86"/>
    </row>
    <row r="286" spans="1:14" ht="18" customHeight="1" x14ac:dyDescent="0.3">
      <c r="A286" s="61" t="s">
        <v>710</v>
      </c>
      <c r="C286" s="89"/>
      <c r="D286" s="86"/>
      <c r="E286" s="89"/>
      <c r="F286" s="86"/>
      <c r="G286" s="89"/>
      <c r="H286" s="86"/>
      <c r="I286" s="89"/>
      <c r="J286" s="86"/>
      <c r="K286" s="89"/>
      <c r="L286" s="86"/>
      <c r="M286" s="89">
        <f>+C286+E286-G286</f>
        <v>0</v>
      </c>
      <c r="N286" s="167" t="s">
        <v>711</v>
      </c>
    </row>
    <row r="287" spans="1:14" ht="18" customHeight="1" x14ac:dyDescent="0.3">
      <c r="C287" s="86"/>
      <c r="D287" s="86"/>
      <c r="E287" s="86"/>
      <c r="F287" s="86"/>
      <c r="G287" s="86"/>
      <c r="H287" s="86"/>
      <c r="I287" s="86"/>
      <c r="J287" s="86"/>
      <c r="K287" s="86"/>
      <c r="L287" s="86"/>
      <c r="M287" s="86"/>
    </row>
    <row r="288" spans="1:14" ht="18" customHeight="1" x14ac:dyDescent="0.3">
      <c r="A288" s="61" t="s">
        <v>712</v>
      </c>
      <c r="C288" s="89"/>
      <c r="D288" s="86"/>
      <c r="E288" s="89"/>
      <c r="F288" s="86"/>
      <c r="G288" s="89"/>
      <c r="H288" s="86"/>
      <c r="I288" s="93"/>
      <c r="J288" s="86"/>
      <c r="K288" s="93"/>
      <c r="L288" s="86"/>
      <c r="M288" s="89">
        <f>+C288+E288-G288</f>
        <v>0</v>
      </c>
      <c r="N288" s="167" t="s">
        <v>713</v>
      </c>
    </row>
    <row r="289" spans="1:14" ht="18" customHeight="1" x14ac:dyDescent="0.3">
      <c r="C289" s="86"/>
      <c r="D289" s="86"/>
      <c r="E289" s="86"/>
      <c r="F289" s="86"/>
      <c r="G289" s="86"/>
      <c r="H289" s="86"/>
      <c r="I289" s="86"/>
      <c r="J289" s="86"/>
      <c r="K289" s="86"/>
      <c r="L289" s="86"/>
      <c r="M289" s="86"/>
    </row>
    <row r="290" spans="1:14" ht="18" customHeight="1" x14ac:dyDescent="0.3">
      <c r="A290" s="61" t="s">
        <v>195</v>
      </c>
      <c r="C290" s="89">
        <f>+C288+C286+C284+C281+C279+C277+C265+C246+C226+C192+C174+C156</f>
        <v>0</v>
      </c>
      <c r="D290" s="86"/>
      <c r="E290" s="89">
        <f>+E288+E286+E284+E281+E279+E277+E265+E246+E226+E192+E174+E156</f>
        <v>27238.5</v>
      </c>
      <c r="F290" s="86"/>
      <c r="G290" s="89">
        <f>+G288+G286+G284+G281+G279+G277+G265+G246+G226+G192+G174+G156</f>
        <v>76920.113795294543</v>
      </c>
      <c r="H290" s="86"/>
      <c r="I290" s="89"/>
      <c r="J290" s="86"/>
      <c r="K290" s="89"/>
      <c r="L290" s="86"/>
      <c r="M290" s="89">
        <f>+M288+M286+M284+M281+M279+M277+M265+M246+M226+M192+M174+M156</f>
        <v>-49681.613795294543</v>
      </c>
    </row>
    <row r="291" spans="1:14" ht="18" customHeight="1" x14ac:dyDescent="0.3">
      <c r="C291" s="85"/>
      <c r="D291" s="86"/>
      <c r="E291" s="85"/>
      <c r="F291" s="86"/>
      <c r="G291" s="85"/>
      <c r="H291" s="86"/>
      <c r="I291" s="85"/>
      <c r="J291" s="86"/>
      <c r="K291" s="85"/>
      <c r="L291" s="86"/>
      <c r="M291" s="85"/>
    </row>
    <row r="292" spans="1:14" ht="18" customHeight="1" x14ac:dyDescent="0.3">
      <c r="A292" s="61" t="s">
        <v>714</v>
      </c>
      <c r="C292" s="89">
        <f>+C118-C290</f>
        <v>0</v>
      </c>
      <c r="D292" s="86"/>
      <c r="E292" s="89">
        <f>+E118-E290</f>
        <v>-27238.5</v>
      </c>
      <c r="F292" s="86"/>
      <c r="G292" s="89">
        <f>+G118-G290</f>
        <v>-76920.113795294543</v>
      </c>
      <c r="H292" s="86"/>
      <c r="I292" s="85"/>
      <c r="J292" s="86"/>
      <c r="K292" s="85"/>
      <c r="L292" s="86"/>
      <c r="M292" s="89">
        <f>+M118-M290</f>
        <v>49681.613795294543</v>
      </c>
    </row>
    <row r="293" spans="1:14" ht="18" customHeight="1" x14ac:dyDescent="0.3">
      <c r="C293" s="86"/>
      <c r="D293" s="86"/>
      <c r="E293" s="86"/>
      <c r="F293" s="86"/>
      <c r="G293" s="86"/>
      <c r="H293" s="86"/>
      <c r="I293" s="86"/>
      <c r="J293" s="86"/>
      <c r="K293" s="86"/>
      <c r="L293" s="86"/>
      <c r="M293" s="86"/>
    </row>
    <row r="294" spans="1:14" ht="18" customHeight="1" x14ac:dyDescent="0.3">
      <c r="A294" s="84" t="s">
        <v>715</v>
      </c>
      <c r="C294" s="86"/>
      <c r="D294" s="86"/>
      <c r="E294" s="86"/>
      <c r="F294" s="86"/>
      <c r="G294" s="86"/>
      <c r="H294" s="86"/>
      <c r="I294" s="86"/>
      <c r="J294" s="86"/>
      <c r="K294" s="86"/>
      <c r="L294" s="86"/>
      <c r="M294" s="86"/>
    </row>
    <row r="295" spans="1:14" ht="18" customHeight="1" x14ac:dyDescent="0.3">
      <c r="A295" s="61" t="s">
        <v>716</v>
      </c>
      <c r="C295" s="93"/>
      <c r="D295" s="86"/>
      <c r="E295" s="93"/>
      <c r="F295" s="86"/>
      <c r="G295" s="93"/>
      <c r="H295" s="86"/>
      <c r="I295" s="93"/>
      <c r="J295" s="86"/>
      <c r="K295" s="93"/>
      <c r="L295" s="86"/>
      <c r="M295" s="93">
        <f>+C295-E295+G295</f>
        <v>0</v>
      </c>
      <c r="N295" s="167" t="s">
        <v>196</v>
      </c>
    </row>
    <row r="296" spans="1:14" ht="18" customHeight="1" x14ac:dyDescent="0.3">
      <c r="A296" s="61" t="s">
        <v>717</v>
      </c>
      <c r="C296" s="93"/>
      <c r="D296" s="86"/>
      <c r="E296" s="93"/>
      <c r="F296" s="86"/>
      <c r="G296" s="93"/>
      <c r="H296" s="86"/>
      <c r="I296" s="93"/>
      <c r="J296" s="86"/>
      <c r="K296" s="93"/>
      <c r="L296" s="86"/>
      <c r="M296" s="93">
        <f>+C296+E296-G296</f>
        <v>0</v>
      </c>
      <c r="N296" s="167" t="s">
        <v>196</v>
      </c>
    </row>
    <row r="297" spans="1:14" ht="18" customHeight="1" x14ac:dyDescent="0.3">
      <c r="A297" s="61" t="s">
        <v>718</v>
      </c>
      <c r="C297" s="93"/>
      <c r="D297" s="86"/>
      <c r="E297" s="93"/>
      <c r="F297" s="86"/>
      <c r="G297" s="93"/>
      <c r="H297" s="86"/>
      <c r="I297" s="93"/>
      <c r="J297" s="86"/>
      <c r="K297" s="93"/>
      <c r="L297" s="86"/>
      <c r="M297" s="93">
        <f>+C297-E297+G297</f>
        <v>0</v>
      </c>
      <c r="N297" s="167" t="s">
        <v>719</v>
      </c>
    </row>
    <row r="298" spans="1:14" ht="18" customHeight="1" x14ac:dyDescent="0.3">
      <c r="A298" s="61" t="s">
        <v>720</v>
      </c>
      <c r="C298" s="93"/>
      <c r="D298" s="86"/>
      <c r="E298" s="93"/>
      <c r="F298" s="86"/>
      <c r="G298" s="93"/>
      <c r="H298" s="86"/>
      <c r="I298" s="93"/>
      <c r="J298" s="86"/>
      <c r="K298" s="93"/>
      <c r="L298" s="86"/>
      <c r="M298" s="93">
        <f>+C298-E298+G298</f>
        <v>0</v>
      </c>
      <c r="N298" s="167" t="s">
        <v>197</v>
      </c>
    </row>
    <row r="299" spans="1:14" ht="18" customHeight="1" x14ac:dyDescent="0.3">
      <c r="A299" s="61" t="s">
        <v>721</v>
      </c>
      <c r="C299" s="93"/>
      <c r="D299" s="86"/>
      <c r="E299" s="93"/>
      <c r="F299" s="86"/>
      <c r="G299" s="93"/>
      <c r="H299" s="86"/>
      <c r="I299" s="93"/>
      <c r="J299" s="86"/>
      <c r="K299" s="93"/>
      <c r="L299" s="86"/>
      <c r="M299" s="93">
        <f>+C299-E299+G299</f>
        <v>0</v>
      </c>
      <c r="N299" s="167" t="s">
        <v>572</v>
      </c>
    </row>
    <row r="300" spans="1:14" ht="18" customHeight="1" x14ac:dyDescent="0.3">
      <c r="A300" s="61" t="s">
        <v>722</v>
      </c>
      <c r="C300" s="86"/>
      <c r="D300" s="86"/>
      <c r="E300" s="86"/>
      <c r="F300" s="86"/>
      <c r="G300" s="86"/>
      <c r="H300" s="86"/>
      <c r="I300" s="86"/>
      <c r="J300" s="86"/>
      <c r="K300" s="86"/>
      <c r="L300" s="86"/>
      <c r="M300" s="86"/>
    </row>
    <row r="301" spans="1:14" ht="18" customHeight="1" x14ac:dyDescent="0.3">
      <c r="A301" s="61" t="s">
        <v>723</v>
      </c>
      <c r="C301" s="93"/>
      <c r="D301" s="86"/>
      <c r="E301" s="93"/>
      <c r="F301" s="86"/>
      <c r="G301" s="93"/>
      <c r="H301" s="86"/>
      <c r="I301" s="93"/>
      <c r="J301" s="86"/>
      <c r="K301" s="93"/>
      <c r="L301" s="86"/>
      <c r="M301" s="93">
        <f>+C301+E301-G301</f>
        <v>0</v>
      </c>
      <c r="N301" s="167" t="s">
        <v>724</v>
      </c>
    </row>
    <row r="302" spans="1:14" ht="18" customHeight="1" x14ac:dyDescent="0.3">
      <c r="A302" s="84" t="s">
        <v>725</v>
      </c>
      <c r="C302" s="93"/>
      <c r="D302" s="86"/>
      <c r="E302" s="93"/>
      <c r="F302" s="86"/>
      <c r="G302" s="93"/>
      <c r="H302" s="86"/>
      <c r="I302" s="93"/>
      <c r="J302" s="86"/>
      <c r="K302" s="93"/>
      <c r="L302" s="86"/>
      <c r="M302" s="93">
        <f>+C302+E302-G302</f>
        <v>0</v>
      </c>
      <c r="N302" s="167" t="s">
        <v>726</v>
      </c>
    </row>
    <row r="303" spans="1:14" ht="18" customHeight="1" x14ac:dyDescent="0.3">
      <c r="A303" s="84"/>
      <c r="C303" s="86"/>
      <c r="D303" s="86"/>
      <c r="E303" s="86"/>
      <c r="F303" s="86"/>
      <c r="G303" s="86"/>
      <c r="H303" s="86"/>
      <c r="I303" s="86"/>
      <c r="J303" s="86"/>
      <c r="K303" s="86"/>
      <c r="L303" s="86"/>
      <c r="M303" s="86"/>
    </row>
    <row r="304" spans="1:14" ht="18" customHeight="1" x14ac:dyDescent="0.3">
      <c r="A304" s="61" t="s">
        <v>727</v>
      </c>
      <c r="C304" s="89">
        <f>SUM(C295:C302)</f>
        <v>0</v>
      </c>
      <c r="D304" s="86"/>
      <c r="E304" s="85"/>
      <c r="F304" s="85"/>
      <c r="G304" s="85"/>
      <c r="H304" s="86"/>
      <c r="I304" s="89"/>
      <c r="J304" s="86"/>
      <c r="K304" s="89"/>
      <c r="L304" s="86"/>
      <c r="M304" s="89">
        <f>SUM(M295:M302)</f>
        <v>0</v>
      </c>
    </row>
    <row r="305" spans="1:14" ht="18" customHeight="1" x14ac:dyDescent="0.3">
      <c r="C305" s="86"/>
      <c r="D305" s="86"/>
      <c r="E305" s="86"/>
      <c r="F305" s="86"/>
      <c r="G305" s="86"/>
      <c r="H305" s="86"/>
      <c r="I305" s="86"/>
      <c r="J305" s="86"/>
      <c r="K305" s="86"/>
      <c r="L305" s="86"/>
      <c r="M305" s="86"/>
    </row>
    <row r="306" spans="1:14" ht="18" customHeight="1" x14ac:dyDescent="0.3">
      <c r="A306" s="61" t="s">
        <v>728</v>
      </c>
      <c r="C306" s="93"/>
      <c r="D306" s="86"/>
      <c r="E306" s="93"/>
      <c r="F306" s="85"/>
      <c r="G306" s="93"/>
      <c r="H306" s="86"/>
      <c r="I306" s="93"/>
      <c r="J306" s="86"/>
      <c r="K306" s="93"/>
      <c r="L306" s="86"/>
      <c r="M306" s="93">
        <f>C306</f>
        <v>0</v>
      </c>
      <c r="N306" s="167" t="s">
        <v>729</v>
      </c>
    </row>
    <row r="307" spans="1:14" ht="18" customHeight="1" x14ac:dyDescent="0.3">
      <c r="A307" s="61" t="s">
        <v>730</v>
      </c>
      <c r="C307" s="93"/>
      <c r="D307" s="86"/>
      <c r="E307" s="93"/>
      <c r="F307" s="85"/>
      <c r="G307" s="93"/>
      <c r="H307" s="86"/>
      <c r="I307" s="93"/>
      <c r="J307" s="86"/>
      <c r="K307" s="93"/>
      <c r="L307" s="86"/>
      <c r="M307" s="93">
        <f>C307</f>
        <v>0</v>
      </c>
      <c r="N307" s="167" t="s">
        <v>731</v>
      </c>
    </row>
    <row r="308" spans="1:14" ht="18" customHeight="1" x14ac:dyDescent="0.3">
      <c r="C308" s="86"/>
      <c r="D308" s="86"/>
      <c r="E308" s="85"/>
      <c r="F308" s="85"/>
      <c r="G308" s="85"/>
      <c r="H308" s="86"/>
      <c r="I308" s="86"/>
      <c r="J308" s="86"/>
      <c r="K308" s="86"/>
      <c r="L308" s="86"/>
      <c r="M308" s="86"/>
    </row>
    <row r="309" spans="1:14" ht="18" customHeight="1" x14ac:dyDescent="0.3">
      <c r="A309" s="61" t="s">
        <v>732</v>
      </c>
      <c r="C309" s="86"/>
      <c r="D309" s="86"/>
      <c r="E309" s="85"/>
      <c r="F309" s="85"/>
      <c r="G309" s="85"/>
      <c r="H309" s="86"/>
      <c r="I309" s="86"/>
      <c r="J309" s="86"/>
      <c r="K309" s="86"/>
      <c r="L309" s="86"/>
      <c r="M309" s="86"/>
    </row>
    <row r="310" spans="1:14" ht="18" customHeight="1" x14ac:dyDescent="0.3">
      <c r="A310" s="92" t="s">
        <v>733</v>
      </c>
      <c r="C310" s="89">
        <f>+C307+C306+C118-C290+C304</f>
        <v>0</v>
      </c>
      <c r="D310" s="86"/>
      <c r="E310" s="85"/>
      <c r="F310" s="85"/>
      <c r="G310" s="85"/>
      <c r="H310" s="86"/>
      <c r="I310" s="89"/>
      <c r="J310" s="86"/>
      <c r="K310" s="89"/>
      <c r="L310" s="86"/>
      <c r="M310" s="89">
        <f>+M312+M307+M306+M118-M290+M304</f>
        <v>49681.613795294543</v>
      </c>
      <c r="N310" s="180" t="s">
        <v>734</v>
      </c>
    </row>
    <row r="311" spans="1:14" ht="18" customHeight="1" x14ac:dyDescent="0.3">
      <c r="C311" s="85"/>
      <c r="D311" s="86"/>
      <c r="E311" s="85"/>
      <c r="F311" s="85"/>
      <c r="G311" s="85"/>
      <c r="H311" s="86"/>
      <c r="I311" s="85"/>
      <c r="J311" s="86"/>
      <c r="K311" s="85"/>
      <c r="L311" s="86"/>
      <c r="M311" s="85"/>
    </row>
    <row r="312" spans="1:14" ht="18" customHeight="1" x14ac:dyDescent="0.3">
      <c r="A312" s="61" t="s">
        <v>735</v>
      </c>
      <c r="C312" s="93"/>
      <c r="D312" s="86"/>
      <c r="E312" s="93"/>
      <c r="F312" s="85"/>
      <c r="G312" s="93"/>
      <c r="H312" s="86"/>
      <c r="I312" s="85"/>
      <c r="J312" s="86"/>
      <c r="K312" s="85"/>
      <c r="L312" s="86"/>
      <c r="M312" s="93">
        <f>+C312-E312+G312</f>
        <v>0</v>
      </c>
    </row>
    <row r="313" spans="1:14" ht="18" customHeight="1" x14ac:dyDescent="0.3">
      <c r="C313" s="85"/>
      <c r="D313" s="86"/>
      <c r="E313" s="85"/>
      <c r="F313" s="85"/>
      <c r="G313" s="85"/>
      <c r="H313" s="86"/>
      <c r="I313" s="85"/>
      <c r="J313" s="86"/>
      <c r="K313" s="85"/>
      <c r="L313" s="86"/>
      <c r="M313" s="85"/>
    </row>
    <row r="314" spans="1:14" ht="18" customHeight="1" x14ac:dyDescent="0.3">
      <c r="A314" s="101" t="s">
        <v>736</v>
      </c>
      <c r="B314" s="88"/>
      <c r="C314" s="93"/>
      <c r="D314" s="85"/>
      <c r="E314" s="196">
        <f>Reconciliations!C11</f>
        <v>0</v>
      </c>
      <c r="F314" s="197" t="s">
        <v>125</v>
      </c>
      <c r="G314" s="196">
        <f>Reconciliations!D11</f>
        <v>67810.908684599985</v>
      </c>
      <c r="H314" s="85" t="s">
        <v>125</v>
      </c>
      <c r="I314" s="85"/>
      <c r="J314" s="85"/>
      <c r="K314" s="85"/>
      <c r="L314" s="85"/>
      <c r="M314" s="93">
        <f>+C314-E314-E315-E316+G314+G315+G316</f>
        <v>67810.908684599985</v>
      </c>
      <c r="N314" s="193" t="s">
        <v>737</v>
      </c>
    </row>
    <row r="315" spans="1:14" ht="18" customHeight="1" x14ac:dyDescent="0.3">
      <c r="A315" s="88"/>
      <c r="B315" s="88"/>
      <c r="C315" s="85"/>
      <c r="D315" s="85"/>
      <c r="E315" s="94"/>
      <c r="F315" s="85"/>
      <c r="G315" s="94"/>
      <c r="H315" s="85"/>
      <c r="I315" s="85"/>
      <c r="J315" s="85"/>
      <c r="K315" s="85"/>
      <c r="L315" s="85"/>
      <c r="M315" s="85"/>
      <c r="N315" s="188"/>
    </row>
    <row r="316" spans="1:14" ht="18" customHeight="1" x14ac:dyDescent="0.3">
      <c r="A316" s="88"/>
      <c r="B316" s="88"/>
      <c r="C316" s="85"/>
      <c r="D316" s="85"/>
      <c r="E316" s="94"/>
      <c r="F316" s="85"/>
      <c r="G316" s="93"/>
      <c r="H316" s="85"/>
      <c r="I316" s="85"/>
      <c r="J316" s="85"/>
      <c r="K316" s="85"/>
      <c r="L316" s="85"/>
      <c r="M316" s="85"/>
      <c r="N316" s="188"/>
    </row>
    <row r="317" spans="1:14" ht="18" customHeight="1" x14ac:dyDescent="0.3">
      <c r="A317" s="192" t="s">
        <v>198</v>
      </c>
      <c r="B317" s="88"/>
      <c r="C317" s="85"/>
      <c r="D317" s="85"/>
      <c r="E317" s="85"/>
      <c r="F317" s="85"/>
      <c r="G317" s="85"/>
      <c r="H317" s="85"/>
      <c r="I317" s="85"/>
      <c r="J317" s="85"/>
      <c r="K317" s="85"/>
      <c r="L317" s="85"/>
      <c r="M317" s="85"/>
      <c r="N317" s="188"/>
    </row>
    <row r="318" spans="1:14" ht="18" customHeight="1" x14ac:dyDescent="0.3">
      <c r="A318" s="192" t="s">
        <v>738</v>
      </c>
      <c r="B318" s="88"/>
      <c r="C318" s="93"/>
      <c r="D318" s="85"/>
      <c r="E318" s="93"/>
      <c r="F318" s="85"/>
      <c r="G318" s="93"/>
      <c r="H318" s="85"/>
      <c r="I318" s="85"/>
      <c r="J318" s="85"/>
      <c r="K318" s="85"/>
      <c r="L318" s="85"/>
      <c r="M318" s="93">
        <f>C318</f>
        <v>0</v>
      </c>
      <c r="N318" s="188" t="s">
        <v>163</v>
      </c>
    </row>
    <row r="319" spans="1:14" ht="18" customHeight="1" x14ac:dyDescent="0.3">
      <c r="A319" s="192" t="s">
        <v>738</v>
      </c>
      <c r="B319" s="88"/>
      <c r="C319" s="93"/>
      <c r="D319" s="85"/>
      <c r="E319" s="93"/>
      <c r="F319" s="85"/>
      <c r="G319" s="93"/>
      <c r="H319" s="85"/>
      <c r="I319" s="85"/>
      <c r="J319" s="85"/>
      <c r="K319" s="85"/>
      <c r="L319" s="85"/>
      <c r="M319" s="93">
        <f>C319</f>
        <v>0</v>
      </c>
      <c r="N319" s="188"/>
    </row>
    <row r="320" spans="1:14" ht="18" customHeight="1" x14ac:dyDescent="0.3">
      <c r="A320" s="192" t="s">
        <v>738</v>
      </c>
      <c r="B320" s="88"/>
      <c r="C320" s="93"/>
      <c r="D320" s="85"/>
      <c r="E320" s="93"/>
      <c r="F320" s="85"/>
      <c r="G320" s="93"/>
      <c r="H320" s="85"/>
      <c r="I320" s="85"/>
      <c r="J320" s="85"/>
      <c r="K320" s="85"/>
      <c r="L320" s="85"/>
      <c r="M320" s="93">
        <f>C320</f>
        <v>0</v>
      </c>
      <c r="N320" s="188"/>
    </row>
    <row r="321" spans="1:14" ht="18" customHeight="1" x14ac:dyDescent="0.3">
      <c r="A321" s="192" t="s">
        <v>738</v>
      </c>
      <c r="B321" s="88"/>
      <c r="C321" s="93"/>
      <c r="D321" s="85"/>
      <c r="E321" s="93"/>
      <c r="F321" s="85"/>
      <c r="G321" s="93"/>
      <c r="H321" s="85"/>
      <c r="I321" s="85"/>
      <c r="J321" s="85"/>
      <c r="K321" s="85"/>
      <c r="L321" s="85"/>
      <c r="M321" s="93">
        <f>C321</f>
        <v>0</v>
      </c>
      <c r="N321" s="188"/>
    </row>
    <row r="322" spans="1:14" ht="18" customHeight="1" x14ac:dyDescent="0.3">
      <c r="A322" s="88"/>
      <c r="B322" s="88"/>
      <c r="C322" s="85"/>
      <c r="D322" s="85"/>
      <c r="E322" s="85"/>
      <c r="F322" s="85"/>
      <c r="G322" s="85"/>
      <c r="H322" s="85"/>
      <c r="I322" s="85"/>
      <c r="J322" s="85"/>
      <c r="K322" s="85"/>
      <c r="L322" s="85"/>
      <c r="M322" s="85"/>
      <c r="N322" s="188"/>
    </row>
    <row r="323" spans="1:14" ht="18" customHeight="1" x14ac:dyDescent="0.3">
      <c r="A323" s="192" t="s">
        <v>199</v>
      </c>
      <c r="B323" s="88"/>
      <c r="C323" s="93">
        <f>+C321+C320+C319+C314</f>
        <v>0</v>
      </c>
      <c r="D323" s="85"/>
      <c r="E323" s="85"/>
      <c r="F323" s="85"/>
      <c r="G323" s="85"/>
      <c r="H323" s="85"/>
      <c r="I323" s="85"/>
      <c r="J323" s="85"/>
      <c r="K323" s="85"/>
      <c r="L323" s="85"/>
      <c r="M323" s="93">
        <f>+M321+M320+M319+M314</f>
        <v>67810.908684599985</v>
      </c>
      <c r="N323" s="191" t="s">
        <v>737</v>
      </c>
    </row>
    <row r="324" spans="1:14" ht="18" customHeight="1" x14ac:dyDescent="0.3">
      <c r="A324" s="88"/>
      <c r="B324" s="88"/>
      <c r="C324" s="85"/>
      <c r="D324" s="85"/>
      <c r="E324" s="85"/>
      <c r="F324" s="85"/>
      <c r="G324" s="85"/>
      <c r="H324" s="85"/>
      <c r="I324" s="85"/>
      <c r="J324" s="85"/>
      <c r="K324" s="85"/>
      <c r="L324" s="85"/>
      <c r="M324" s="85"/>
      <c r="N324" s="188"/>
    </row>
    <row r="325" spans="1:14" ht="18" customHeight="1" thickBot="1" x14ac:dyDescent="0.35">
      <c r="A325" s="192" t="s">
        <v>739</v>
      </c>
      <c r="B325" s="88"/>
      <c r="C325" s="87">
        <f>+C323+C310+C312</f>
        <v>0</v>
      </c>
      <c r="D325" s="85"/>
      <c r="E325" s="85"/>
      <c r="F325" s="85"/>
      <c r="G325" s="85"/>
      <c r="H325" s="85"/>
      <c r="I325" s="85"/>
      <c r="J325" s="85"/>
      <c r="K325" s="85"/>
      <c r="L325" s="85"/>
      <c r="M325" s="87">
        <f>+M323+M310+M312</f>
        <v>117492.52247989453</v>
      </c>
      <c r="N325" s="191" t="s">
        <v>740</v>
      </c>
    </row>
    <row r="326" spans="1:14" ht="18" customHeight="1" thickTop="1" x14ac:dyDescent="0.3">
      <c r="A326" s="88"/>
      <c r="B326" s="88"/>
      <c r="C326" s="85"/>
      <c r="D326" s="85"/>
      <c r="E326" s="85"/>
      <c r="F326" s="85"/>
      <c r="G326" s="85"/>
      <c r="H326" s="85"/>
      <c r="I326" s="85"/>
      <c r="J326" s="85"/>
      <c r="K326" s="85"/>
      <c r="L326" s="85"/>
      <c r="M326" s="85"/>
      <c r="N326" s="188"/>
    </row>
    <row r="327" spans="1:14" ht="18" customHeight="1" x14ac:dyDescent="0.3">
      <c r="A327" s="88"/>
      <c r="B327" s="88"/>
      <c r="C327" s="85"/>
      <c r="D327" s="85"/>
      <c r="E327" s="85"/>
      <c r="F327" s="85"/>
      <c r="G327" s="85"/>
      <c r="H327" s="85"/>
      <c r="I327" s="85"/>
      <c r="J327" s="85"/>
      <c r="K327" s="85"/>
      <c r="L327" s="85"/>
      <c r="M327" s="85"/>
      <c r="N327" s="188"/>
    </row>
    <row r="328" spans="1:14" ht="18" customHeight="1" x14ac:dyDescent="0.3">
      <c r="A328" s="88"/>
      <c r="B328" s="88"/>
      <c r="C328" s="85"/>
      <c r="D328" s="85"/>
      <c r="E328" s="85"/>
      <c r="F328" s="85"/>
      <c r="G328" s="85"/>
      <c r="H328" s="85"/>
      <c r="I328" s="85"/>
      <c r="J328" s="85"/>
      <c r="K328" s="85"/>
      <c r="L328" s="85"/>
      <c r="M328" s="85"/>
      <c r="N328" s="188"/>
    </row>
    <row r="329" spans="1:14" ht="18" customHeight="1" x14ac:dyDescent="0.3">
      <c r="A329" s="88"/>
      <c r="B329" s="88"/>
      <c r="C329" s="85"/>
      <c r="D329" s="85"/>
      <c r="E329" s="85"/>
      <c r="F329" s="85"/>
      <c r="G329" s="85"/>
      <c r="H329" s="85"/>
      <c r="I329" s="85"/>
      <c r="J329" s="85"/>
      <c r="K329" s="85"/>
      <c r="L329" s="85"/>
      <c r="M329" s="85"/>
      <c r="N329" s="188"/>
    </row>
    <row r="330" spans="1:14" ht="18" customHeight="1" x14ac:dyDescent="0.3">
      <c r="A330" s="88"/>
      <c r="B330" s="88"/>
      <c r="C330" s="85"/>
      <c r="D330" s="85"/>
      <c r="E330" s="85"/>
      <c r="F330" s="85"/>
      <c r="G330" s="85"/>
      <c r="H330" s="85"/>
      <c r="I330" s="85"/>
      <c r="J330" s="85"/>
      <c r="K330" s="85"/>
      <c r="L330" s="85"/>
      <c r="M330" s="85"/>
      <c r="N330" s="188"/>
    </row>
    <row r="331" spans="1:14" ht="18" customHeight="1" x14ac:dyDescent="0.3">
      <c r="A331" s="88"/>
      <c r="B331" s="88"/>
      <c r="C331" s="85"/>
      <c r="D331" s="85"/>
      <c r="E331" s="85"/>
      <c r="F331" s="85"/>
      <c r="G331" s="85"/>
      <c r="H331" s="85"/>
      <c r="I331" s="85"/>
      <c r="J331" s="85"/>
      <c r="K331" s="85"/>
      <c r="L331" s="85"/>
      <c r="M331" s="85"/>
      <c r="N331" s="188"/>
    </row>
    <row r="332" spans="1:14" ht="18" customHeight="1" x14ac:dyDescent="0.3">
      <c r="A332" s="88"/>
      <c r="B332" s="88"/>
      <c r="C332" s="85"/>
      <c r="D332" s="85"/>
      <c r="E332" s="85"/>
      <c r="F332" s="85"/>
      <c r="G332" s="85"/>
      <c r="H332" s="85"/>
      <c r="I332" s="85"/>
      <c r="J332" s="85"/>
      <c r="K332" s="85"/>
      <c r="L332" s="85"/>
      <c r="M332" s="85"/>
      <c r="N332" s="188"/>
    </row>
    <row r="333" spans="1:14" ht="18" customHeight="1" x14ac:dyDescent="0.3">
      <c r="A333" s="88"/>
      <c r="B333" s="88"/>
      <c r="C333" s="85"/>
      <c r="D333" s="85"/>
      <c r="E333" s="85"/>
      <c r="F333" s="85"/>
      <c r="G333" s="85"/>
      <c r="H333" s="85"/>
      <c r="I333" s="85"/>
      <c r="J333" s="85"/>
      <c r="K333" s="85"/>
      <c r="L333" s="85"/>
      <c r="M333" s="85"/>
      <c r="N333" s="188"/>
    </row>
    <row r="334" spans="1:14" ht="18" customHeight="1" x14ac:dyDescent="0.3">
      <c r="A334" s="88"/>
      <c r="B334" s="88"/>
      <c r="C334" s="85"/>
      <c r="D334" s="85"/>
      <c r="E334" s="85"/>
      <c r="F334" s="85"/>
      <c r="G334" s="85"/>
      <c r="H334" s="85"/>
      <c r="I334" s="85"/>
      <c r="J334" s="85"/>
      <c r="K334" s="85"/>
      <c r="L334" s="85"/>
      <c r="M334" s="85"/>
      <c r="N334" s="188"/>
    </row>
    <row r="335" spans="1:14" ht="18" customHeight="1" x14ac:dyDescent="0.3">
      <c r="A335" s="88"/>
      <c r="B335" s="88"/>
      <c r="C335" s="85"/>
      <c r="D335" s="85"/>
      <c r="E335" s="85"/>
      <c r="F335" s="85"/>
      <c r="G335" s="85"/>
      <c r="H335" s="85"/>
      <c r="I335" s="85"/>
      <c r="J335" s="85"/>
      <c r="K335" s="85"/>
      <c r="L335" s="85"/>
      <c r="M335" s="85"/>
      <c r="N335" s="188"/>
    </row>
    <row r="336" spans="1:14" ht="18" customHeight="1" x14ac:dyDescent="0.3">
      <c r="A336" s="88"/>
      <c r="B336" s="88"/>
      <c r="C336" s="85"/>
      <c r="D336" s="85"/>
      <c r="E336" s="85"/>
      <c r="F336" s="85"/>
      <c r="G336" s="85"/>
      <c r="H336" s="85"/>
      <c r="I336" s="85"/>
      <c r="J336" s="85"/>
      <c r="K336" s="85"/>
      <c r="L336" s="85"/>
      <c r="M336" s="85"/>
      <c r="N336" s="188"/>
    </row>
    <row r="337" spans="3:13" ht="18" customHeight="1" x14ac:dyDescent="0.3">
      <c r="C337" s="86"/>
      <c r="D337" s="86"/>
      <c r="E337" s="86"/>
      <c r="F337" s="86"/>
      <c r="G337" s="86"/>
      <c r="H337" s="86"/>
      <c r="I337" s="86"/>
      <c r="J337" s="86"/>
      <c r="K337" s="86"/>
      <c r="L337" s="86"/>
      <c r="M337" s="86"/>
    </row>
    <row r="338" spans="3:13" ht="18" customHeight="1" x14ac:dyDescent="0.3">
      <c r="C338" s="86"/>
      <c r="D338" s="86"/>
      <c r="E338" s="86"/>
      <c r="F338" s="86"/>
      <c r="G338" s="86"/>
      <c r="H338" s="86"/>
      <c r="I338" s="86"/>
      <c r="J338" s="86"/>
      <c r="K338" s="86"/>
      <c r="L338" s="86"/>
      <c r="M338" s="86"/>
    </row>
    <row r="339" spans="3:13" ht="18" customHeight="1" x14ac:dyDescent="0.3">
      <c r="C339" s="86"/>
      <c r="D339" s="86"/>
      <c r="E339" s="86"/>
      <c r="F339" s="86"/>
      <c r="G339" s="86"/>
      <c r="H339" s="86"/>
      <c r="I339" s="86"/>
      <c r="J339" s="86"/>
      <c r="K339" s="86"/>
      <c r="L339" s="86"/>
      <c r="M339" s="86"/>
    </row>
    <row r="340" spans="3:13" ht="18" customHeight="1" x14ac:dyDescent="0.3">
      <c r="C340" s="86"/>
      <c r="D340" s="86"/>
      <c r="E340" s="86"/>
      <c r="F340" s="86"/>
      <c r="G340" s="86"/>
      <c r="H340" s="86"/>
      <c r="I340" s="86"/>
      <c r="J340" s="86"/>
      <c r="K340" s="86"/>
      <c r="L340" s="86"/>
      <c r="M340" s="86"/>
    </row>
    <row r="341" spans="3:13" ht="18" customHeight="1" x14ac:dyDescent="0.3">
      <c r="C341" s="86"/>
      <c r="D341" s="86"/>
      <c r="E341" s="86"/>
      <c r="F341" s="86"/>
      <c r="G341" s="86"/>
      <c r="H341" s="86"/>
      <c r="I341" s="86"/>
      <c r="J341" s="86"/>
      <c r="K341" s="86"/>
      <c r="L341" s="86"/>
      <c r="M341" s="86"/>
    </row>
    <row r="342" spans="3:13" ht="18" customHeight="1" x14ac:dyDescent="0.3">
      <c r="C342" s="86"/>
      <c r="D342" s="86"/>
      <c r="E342" s="86"/>
      <c r="F342" s="86"/>
      <c r="G342" s="86"/>
      <c r="H342" s="86"/>
      <c r="I342" s="86"/>
      <c r="J342" s="86"/>
      <c r="K342" s="86"/>
      <c r="L342" s="86"/>
      <c r="M342" s="86"/>
    </row>
    <row r="343" spans="3:13" ht="18" customHeight="1" x14ac:dyDescent="0.3">
      <c r="C343" s="86"/>
      <c r="D343" s="86"/>
      <c r="E343" s="86"/>
      <c r="F343" s="86"/>
      <c r="G343" s="86"/>
      <c r="H343" s="86"/>
      <c r="I343" s="86"/>
      <c r="J343" s="86"/>
      <c r="K343" s="86"/>
      <c r="L343" s="86"/>
      <c r="M343" s="86"/>
    </row>
    <row r="344" spans="3:13" ht="18" customHeight="1" x14ac:dyDescent="0.3">
      <c r="C344" s="86"/>
      <c r="D344" s="86"/>
      <c r="E344" s="86"/>
      <c r="F344" s="86"/>
      <c r="G344" s="86"/>
      <c r="H344" s="86"/>
      <c r="I344" s="86"/>
      <c r="J344" s="86"/>
      <c r="K344" s="86"/>
      <c r="L344" s="86"/>
      <c r="M344" s="86"/>
    </row>
    <row r="345" spans="3:13" ht="18" customHeight="1" x14ac:dyDescent="0.3">
      <c r="C345" s="86"/>
      <c r="D345" s="86"/>
      <c r="E345" s="86"/>
      <c r="F345" s="86"/>
      <c r="G345" s="86"/>
      <c r="H345" s="86"/>
      <c r="I345" s="86"/>
      <c r="J345" s="86"/>
      <c r="K345" s="86"/>
      <c r="L345" s="86"/>
      <c r="M345" s="86"/>
    </row>
    <row r="346" spans="3:13" ht="18" customHeight="1" x14ac:dyDescent="0.3">
      <c r="C346" s="86"/>
      <c r="D346" s="86"/>
      <c r="E346" s="86"/>
      <c r="F346" s="86"/>
      <c r="G346" s="86"/>
      <c r="H346" s="86"/>
      <c r="I346" s="86"/>
      <c r="J346" s="86"/>
      <c r="K346" s="86"/>
      <c r="L346" s="86"/>
      <c r="M346" s="86"/>
    </row>
    <row r="347" spans="3:13" ht="18" customHeight="1" x14ac:dyDescent="0.3">
      <c r="C347" s="86"/>
      <c r="D347" s="86"/>
      <c r="E347" s="86"/>
      <c r="F347" s="86"/>
      <c r="G347" s="86"/>
      <c r="H347" s="86"/>
      <c r="I347" s="86"/>
      <c r="J347" s="86"/>
      <c r="K347" s="86"/>
      <c r="L347" s="86"/>
      <c r="M347" s="86"/>
    </row>
    <row r="348" spans="3:13" ht="18" customHeight="1" x14ac:dyDescent="0.3">
      <c r="C348" s="86"/>
      <c r="D348" s="86"/>
      <c r="E348" s="86"/>
      <c r="F348" s="86"/>
      <c r="G348" s="86"/>
      <c r="H348" s="86"/>
      <c r="I348" s="86"/>
      <c r="J348" s="86"/>
      <c r="K348" s="86"/>
      <c r="L348" s="86"/>
      <c r="M348" s="86"/>
    </row>
    <row r="349" spans="3:13" ht="18" customHeight="1" x14ac:dyDescent="0.3">
      <c r="C349" s="86"/>
      <c r="D349" s="86"/>
      <c r="E349" s="86"/>
      <c r="F349" s="86"/>
      <c r="G349" s="86"/>
      <c r="H349" s="86"/>
      <c r="I349" s="86"/>
      <c r="J349" s="86"/>
      <c r="K349" s="86"/>
      <c r="L349" s="86"/>
      <c r="M349" s="86"/>
    </row>
    <row r="350" spans="3:13" ht="18" customHeight="1" x14ac:dyDescent="0.3">
      <c r="C350" s="86"/>
      <c r="D350" s="86"/>
      <c r="E350" s="86"/>
      <c r="F350" s="86"/>
      <c r="G350" s="86"/>
      <c r="H350" s="86"/>
      <c r="I350" s="86"/>
      <c r="J350" s="86"/>
      <c r="K350" s="86"/>
      <c r="L350" s="86"/>
      <c r="M350" s="86"/>
    </row>
    <row r="351" spans="3:13" ht="18" customHeight="1" x14ac:dyDescent="0.3">
      <c r="C351" s="86"/>
      <c r="D351" s="86"/>
      <c r="E351" s="86"/>
      <c r="F351" s="86"/>
      <c r="G351" s="86"/>
      <c r="H351" s="86"/>
      <c r="I351" s="86"/>
      <c r="J351" s="86"/>
      <c r="K351" s="86"/>
      <c r="L351" s="86"/>
      <c r="M351" s="86"/>
    </row>
    <row r="352" spans="3:13" ht="18" customHeight="1" x14ac:dyDescent="0.3">
      <c r="C352" s="86"/>
      <c r="D352" s="86"/>
      <c r="E352" s="86"/>
      <c r="F352" s="86"/>
      <c r="G352" s="86"/>
      <c r="H352" s="86"/>
      <c r="I352" s="86"/>
      <c r="J352" s="86"/>
      <c r="K352" s="86"/>
      <c r="L352" s="86"/>
      <c r="M352" s="86"/>
    </row>
    <row r="353" spans="3:13" ht="18" customHeight="1" x14ac:dyDescent="0.3">
      <c r="C353" s="86"/>
      <c r="D353" s="86"/>
      <c r="E353" s="86"/>
      <c r="F353" s="86"/>
      <c r="G353" s="86"/>
      <c r="H353" s="86"/>
      <c r="I353" s="86"/>
      <c r="J353" s="86"/>
      <c r="K353" s="86"/>
      <c r="L353" s="86"/>
      <c r="M353" s="86"/>
    </row>
    <row r="354" spans="3:13" ht="18" customHeight="1" x14ac:dyDescent="0.3">
      <c r="C354" s="86"/>
      <c r="D354" s="86"/>
      <c r="E354" s="86"/>
      <c r="F354" s="86"/>
      <c r="G354" s="86"/>
      <c r="H354" s="86"/>
      <c r="I354" s="86"/>
      <c r="J354" s="86"/>
      <c r="K354" s="86"/>
      <c r="L354" s="86"/>
      <c r="M354" s="86"/>
    </row>
    <row r="355" spans="3:13" ht="18" customHeight="1" x14ac:dyDescent="0.3">
      <c r="C355" s="86"/>
      <c r="D355" s="86"/>
      <c r="E355" s="86"/>
      <c r="F355" s="86"/>
      <c r="G355" s="86"/>
      <c r="H355" s="86"/>
      <c r="I355" s="86"/>
      <c r="J355" s="86"/>
      <c r="K355" s="86"/>
      <c r="L355" s="86"/>
      <c r="M355" s="86"/>
    </row>
    <row r="356" spans="3:13" ht="18" customHeight="1" x14ac:dyDescent="0.3">
      <c r="C356" s="86"/>
      <c r="D356" s="86"/>
      <c r="E356" s="86"/>
      <c r="F356" s="86"/>
      <c r="G356" s="86"/>
      <c r="H356" s="86"/>
      <c r="I356" s="86"/>
      <c r="J356" s="86"/>
      <c r="K356" s="86"/>
      <c r="L356" s="86"/>
      <c r="M356" s="86"/>
    </row>
    <row r="357" spans="3:13" ht="18" customHeight="1" x14ac:dyDescent="0.3">
      <c r="C357" s="86"/>
      <c r="D357" s="86"/>
      <c r="E357" s="86"/>
      <c r="F357" s="86"/>
      <c r="G357" s="86"/>
      <c r="H357" s="86"/>
      <c r="I357" s="86"/>
      <c r="J357" s="86"/>
      <c r="K357" s="86"/>
      <c r="L357" s="86"/>
      <c r="M357" s="86"/>
    </row>
    <row r="358" spans="3:13" ht="18" customHeight="1" x14ac:dyDescent="0.3">
      <c r="C358" s="86"/>
      <c r="D358" s="86"/>
      <c r="E358" s="86"/>
      <c r="F358" s="86"/>
      <c r="G358" s="86"/>
      <c r="H358" s="86"/>
      <c r="I358" s="86"/>
      <c r="J358" s="86"/>
      <c r="K358" s="86"/>
      <c r="L358" s="86"/>
      <c r="M358" s="86"/>
    </row>
    <row r="359" spans="3:13" ht="18" customHeight="1" x14ac:dyDescent="0.3">
      <c r="C359" s="86"/>
      <c r="D359" s="86"/>
      <c r="E359" s="86"/>
      <c r="F359" s="86"/>
      <c r="G359" s="86"/>
      <c r="H359" s="86"/>
      <c r="I359" s="86"/>
      <c r="J359" s="86"/>
      <c r="K359" s="86"/>
      <c r="L359" s="86"/>
      <c r="M359" s="86"/>
    </row>
    <row r="360" spans="3:13" ht="18" customHeight="1" x14ac:dyDescent="0.3">
      <c r="C360" s="86"/>
      <c r="D360" s="86"/>
      <c r="E360" s="86"/>
      <c r="F360" s="86"/>
      <c r="G360" s="86"/>
      <c r="H360" s="86"/>
      <c r="I360" s="86"/>
      <c r="J360" s="86"/>
      <c r="K360" s="86"/>
      <c r="L360" s="86"/>
      <c r="M360" s="86"/>
    </row>
    <row r="361" spans="3:13" ht="18" customHeight="1" x14ac:dyDescent="0.3">
      <c r="C361" s="86"/>
      <c r="D361" s="86"/>
      <c r="E361" s="86"/>
      <c r="F361" s="86"/>
      <c r="G361" s="86"/>
      <c r="H361" s="86"/>
      <c r="I361" s="86"/>
      <c r="J361" s="86"/>
      <c r="K361" s="86"/>
      <c r="L361" s="86"/>
      <c r="M361" s="86"/>
    </row>
    <row r="362" spans="3:13" ht="18" customHeight="1" x14ac:dyDescent="0.3">
      <c r="C362" s="86"/>
      <c r="D362" s="86"/>
      <c r="E362" s="86"/>
      <c r="F362" s="86"/>
      <c r="G362" s="86"/>
      <c r="H362" s="86"/>
      <c r="I362" s="86"/>
      <c r="J362" s="86"/>
      <c r="K362" s="86"/>
      <c r="L362" s="86"/>
      <c r="M362" s="86"/>
    </row>
  </sheetData>
  <mergeCells count="5">
    <mergeCell ref="A1:N1"/>
    <mergeCell ref="A2:N2"/>
    <mergeCell ref="A3:N3"/>
    <mergeCell ref="A4:M4"/>
    <mergeCell ref="E6:H6"/>
  </mergeCells>
  <pageMargins left="0.7" right="0.7" top="0.75" bottom="0.75" header="0.3" footer="0.3"/>
  <pageSetup scale="47" orientation="portrait" r:id="rId1"/>
  <rowBreaks count="2" manualBreakCount="2">
    <brk id="166" max="16383" man="1"/>
    <brk id="247"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58"/>
  <sheetViews>
    <sheetView topLeftCell="A67" zoomScaleNormal="100" zoomScaleSheetLayoutView="100" workbookViewId="0">
      <selection activeCell="A90" sqref="A90"/>
    </sheetView>
  </sheetViews>
  <sheetFormatPr defaultRowHeight="14.4" x14ac:dyDescent="0.3"/>
  <cols>
    <col min="1" max="1" width="11.88671875" customWidth="1"/>
    <col min="2" max="2" width="14.6640625" customWidth="1"/>
    <col min="3" max="3" width="16.5546875" customWidth="1"/>
    <col min="4" max="4" width="17.5546875" customWidth="1"/>
    <col min="5" max="5" width="18.88671875" customWidth="1"/>
    <col min="6" max="6" width="25.6640625" customWidth="1"/>
    <col min="7" max="7" width="15" bestFit="1" customWidth="1"/>
    <col min="8" max="8" width="11" customWidth="1"/>
    <col min="10" max="10" width="12.33203125" customWidth="1"/>
  </cols>
  <sheetData>
    <row r="1" spans="1:1" x14ac:dyDescent="0.3">
      <c r="A1" s="137" t="s">
        <v>204</v>
      </c>
    </row>
    <row r="2" spans="1:1" ht="6" customHeight="1" x14ac:dyDescent="0.3"/>
    <row r="3" spans="1:1" x14ac:dyDescent="0.3">
      <c r="A3" s="108" t="s">
        <v>205</v>
      </c>
    </row>
    <row r="4" spans="1:1" x14ac:dyDescent="0.3">
      <c r="A4" s="109" t="s">
        <v>297</v>
      </c>
    </row>
    <row r="5" spans="1:1" x14ac:dyDescent="0.3">
      <c r="A5" s="109" t="s">
        <v>892</v>
      </c>
    </row>
    <row r="6" spans="1:1" x14ac:dyDescent="0.3">
      <c r="A6" s="109" t="s">
        <v>887</v>
      </c>
    </row>
    <row r="7" spans="1:1" x14ac:dyDescent="0.3">
      <c r="A7" s="109" t="s">
        <v>888</v>
      </c>
    </row>
    <row r="8" spans="1:1" s="338" customFormat="1" x14ac:dyDescent="0.3">
      <c r="A8" s="337" t="s">
        <v>898</v>
      </c>
    </row>
    <row r="9" spans="1:1" x14ac:dyDescent="0.3">
      <c r="A9" s="109" t="s">
        <v>944</v>
      </c>
    </row>
    <row r="10" spans="1:1" x14ac:dyDescent="0.3">
      <c r="A10" s="109" t="s">
        <v>206</v>
      </c>
    </row>
    <row r="11" spans="1:1" x14ac:dyDescent="0.3">
      <c r="A11" s="109" t="s">
        <v>299</v>
      </c>
    </row>
    <row r="12" spans="1:1" x14ac:dyDescent="0.3">
      <c r="A12" s="109" t="s">
        <v>207</v>
      </c>
    </row>
    <row r="14" spans="1:1" x14ac:dyDescent="0.3">
      <c r="A14" s="108" t="s">
        <v>208</v>
      </c>
    </row>
    <row r="15" spans="1:1" x14ac:dyDescent="0.3">
      <c r="A15" t="s">
        <v>854</v>
      </c>
    </row>
    <row r="16" spans="1:1" x14ac:dyDescent="0.3">
      <c r="A16" t="s">
        <v>855</v>
      </c>
    </row>
    <row r="17" spans="1:1" s="333" customFormat="1" x14ac:dyDescent="0.3">
      <c r="A17" s="333" t="s">
        <v>856</v>
      </c>
    </row>
    <row r="18" spans="1:1" s="288" customFormat="1" x14ac:dyDescent="0.3"/>
    <row r="19" spans="1:1" s="288" customFormat="1" x14ac:dyDescent="0.3">
      <c r="A19" s="288" t="s">
        <v>811</v>
      </c>
    </row>
    <row r="20" spans="1:1" s="288" customFormat="1" x14ac:dyDescent="0.3">
      <c r="A20" s="288" t="s">
        <v>812</v>
      </c>
    </row>
    <row r="21" spans="1:1" s="288" customFormat="1" x14ac:dyDescent="0.3">
      <c r="A21" s="288" t="s">
        <v>813</v>
      </c>
    </row>
    <row r="22" spans="1:1" s="288" customFormat="1" x14ac:dyDescent="0.3">
      <c r="A22" s="288" t="s">
        <v>815</v>
      </c>
    </row>
    <row r="23" spans="1:1" s="288" customFormat="1" x14ac:dyDescent="0.3">
      <c r="A23" s="288" t="s">
        <v>814</v>
      </c>
    </row>
    <row r="24" spans="1:1" s="288" customFormat="1" x14ac:dyDescent="0.3">
      <c r="A24" s="288" t="s">
        <v>816</v>
      </c>
    </row>
    <row r="25" spans="1:1" s="288" customFormat="1" x14ac:dyDescent="0.3">
      <c r="A25" s="288" t="s">
        <v>817</v>
      </c>
    </row>
    <row r="26" spans="1:1" s="288" customFormat="1" x14ac:dyDescent="0.3">
      <c r="A26" s="288" t="s">
        <v>818</v>
      </c>
    </row>
    <row r="27" spans="1:1" s="288" customFormat="1" x14ac:dyDescent="0.3">
      <c r="A27" s="288" t="s">
        <v>819</v>
      </c>
    </row>
    <row r="28" spans="1:1" s="288" customFormat="1" x14ac:dyDescent="0.3">
      <c r="A28" s="288" t="s">
        <v>820</v>
      </c>
    </row>
    <row r="29" spans="1:1" s="288" customFormat="1" x14ac:dyDescent="0.3">
      <c r="A29" s="288" t="s">
        <v>857</v>
      </c>
    </row>
    <row r="30" spans="1:1" s="333" customFormat="1" x14ac:dyDescent="0.3">
      <c r="A30" s="333" t="s">
        <v>858</v>
      </c>
    </row>
    <row r="31" spans="1:1" s="288" customFormat="1" x14ac:dyDescent="0.3"/>
    <row r="32" spans="1:1" s="288" customFormat="1" x14ac:dyDescent="0.3">
      <c r="A32" s="288" t="s">
        <v>821</v>
      </c>
    </row>
    <row r="33" spans="1:6" s="288" customFormat="1" x14ac:dyDescent="0.3">
      <c r="A33" s="288" t="s">
        <v>822</v>
      </c>
    </row>
    <row r="34" spans="1:6" s="288" customFormat="1" x14ac:dyDescent="0.3">
      <c r="A34" s="288" t="s">
        <v>832</v>
      </c>
    </row>
    <row r="35" spans="1:6" s="288" customFormat="1" x14ac:dyDescent="0.3">
      <c r="A35" s="288" t="s">
        <v>823</v>
      </c>
    </row>
    <row r="36" spans="1:6" s="288" customFormat="1" x14ac:dyDescent="0.3">
      <c r="A36" s="288" t="s">
        <v>833</v>
      </c>
    </row>
    <row r="37" spans="1:6" s="288" customFormat="1" x14ac:dyDescent="0.3">
      <c r="A37" s="288" t="s">
        <v>830</v>
      </c>
    </row>
    <row r="38" spans="1:6" s="288" customFormat="1" x14ac:dyDescent="0.3">
      <c r="A38" s="288" t="s">
        <v>824</v>
      </c>
    </row>
    <row r="39" spans="1:6" s="288" customFormat="1" x14ac:dyDescent="0.3">
      <c r="A39" s="288" t="s">
        <v>825</v>
      </c>
    </row>
    <row r="40" spans="1:6" s="288" customFormat="1" x14ac:dyDescent="0.3">
      <c r="A40" s="288" t="s">
        <v>826</v>
      </c>
    </row>
    <row r="41" spans="1:6" s="288" customFormat="1" x14ac:dyDescent="0.3">
      <c r="A41" s="288" t="s">
        <v>827</v>
      </c>
    </row>
    <row r="42" spans="1:6" s="288" customFormat="1" x14ac:dyDescent="0.3"/>
    <row r="43" spans="1:6" s="61" customFormat="1" ht="13.5" customHeight="1" x14ac:dyDescent="0.3">
      <c r="A43" s="61" t="s">
        <v>831</v>
      </c>
    </row>
    <row r="44" spans="1:6" s="61" customFormat="1" ht="6" customHeight="1" x14ac:dyDescent="0.3"/>
    <row r="45" spans="1:6" s="61" customFormat="1" ht="13.5" customHeight="1" x14ac:dyDescent="0.3">
      <c r="A45" s="110" t="s">
        <v>209</v>
      </c>
      <c r="B45" s="416" t="s">
        <v>802</v>
      </c>
      <c r="C45" s="416"/>
      <c r="D45" s="416"/>
      <c r="E45" s="416"/>
      <c r="F45" s="416"/>
    </row>
    <row r="46" spans="1:6" s="61" customFormat="1" ht="13.5" customHeight="1" x14ac:dyDescent="0.3">
      <c r="B46" s="417" t="s">
        <v>801</v>
      </c>
      <c r="C46" s="417"/>
      <c r="D46" s="417"/>
      <c r="E46" s="417"/>
      <c r="F46" s="417"/>
    </row>
    <row r="47" spans="1:6" s="61" customFormat="1" ht="13.5" customHeight="1" x14ac:dyDescent="0.3">
      <c r="A47" s="110" t="s">
        <v>209</v>
      </c>
      <c r="B47" s="417" t="s">
        <v>803</v>
      </c>
      <c r="C47" s="417"/>
      <c r="D47" s="417"/>
      <c r="E47" s="417"/>
      <c r="F47" s="417"/>
    </row>
    <row r="48" spans="1:6" s="61" customFormat="1" ht="13.5" customHeight="1" x14ac:dyDescent="0.3">
      <c r="B48" s="110" t="s">
        <v>209</v>
      </c>
      <c r="C48" s="417" t="s">
        <v>808</v>
      </c>
      <c r="D48" s="417"/>
      <c r="E48" s="417"/>
      <c r="F48" s="417"/>
    </row>
    <row r="49" spans="1:6" s="61" customFormat="1" ht="13.5" customHeight="1" x14ac:dyDescent="0.3">
      <c r="A49" s="110" t="s">
        <v>209</v>
      </c>
      <c r="B49" s="417" t="s">
        <v>804</v>
      </c>
      <c r="C49" s="417"/>
      <c r="D49" s="417"/>
      <c r="E49" s="417"/>
      <c r="F49" s="417"/>
    </row>
    <row r="50" spans="1:6" s="61" customFormat="1" ht="13.5" customHeight="1" x14ac:dyDescent="0.3">
      <c r="B50" s="110" t="s">
        <v>209</v>
      </c>
      <c r="C50" s="417" t="s">
        <v>805</v>
      </c>
      <c r="D50" s="417"/>
      <c r="E50" s="417"/>
      <c r="F50" s="417"/>
    </row>
    <row r="51" spans="1:6" s="61" customFormat="1" ht="13.5" customHeight="1" x14ac:dyDescent="0.3">
      <c r="C51" s="415" t="s">
        <v>807</v>
      </c>
      <c r="D51" s="415"/>
      <c r="E51" s="415"/>
      <c r="F51" s="415"/>
    </row>
    <row r="52" spans="1:6" s="61" customFormat="1" ht="13.5" customHeight="1" x14ac:dyDescent="0.3">
      <c r="C52" s="415" t="s">
        <v>806</v>
      </c>
      <c r="D52" s="415"/>
      <c r="E52" s="415"/>
      <c r="F52" s="415"/>
    </row>
    <row r="53" spans="1:6" s="333" customFormat="1" ht="6.75" customHeight="1" x14ac:dyDescent="0.3">
      <c r="C53" s="332"/>
      <c r="D53" s="332"/>
      <c r="E53" s="332"/>
      <c r="F53" s="332"/>
    </row>
    <row r="54" spans="1:6" s="333" customFormat="1" ht="13.5" customHeight="1" x14ac:dyDescent="0.3">
      <c r="A54" s="333" t="s">
        <v>859</v>
      </c>
      <c r="C54" s="332"/>
      <c r="D54" s="332"/>
      <c r="E54" s="332"/>
      <c r="F54" s="332"/>
    </row>
    <row r="55" spans="1:6" s="61" customFormat="1" ht="13.5" customHeight="1" x14ac:dyDescent="0.3">
      <c r="C55" s="285"/>
      <c r="D55" s="285"/>
      <c r="E55" s="285"/>
      <c r="F55" s="285"/>
    </row>
    <row r="56" spans="1:6" x14ac:dyDescent="0.3">
      <c r="A56" t="s">
        <v>210</v>
      </c>
    </row>
    <row r="57" spans="1:6" x14ac:dyDescent="0.3">
      <c r="A57" t="s">
        <v>211</v>
      </c>
    </row>
    <row r="59" spans="1:6" s="112" customFormat="1" x14ac:dyDescent="0.3">
      <c r="A59" s="112" t="s">
        <v>749</v>
      </c>
    </row>
    <row r="60" spans="1:6" s="112" customFormat="1" x14ac:dyDescent="0.3">
      <c r="A60" s="112" t="s">
        <v>212</v>
      </c>
    </row>
    <row r="61" spans="1:6" ht="6" customHeight="1" x14ac:dyDescent="0.3"/>
    <row r="62" spans="1:6" x14ac:dyDescent="0.3">
      <c r="A62" s="112" t="s">
        <v>750</v>
      </c>
    </row>
    <row r="63" spans="1:6" x14ac:dyDescent="0.3">
      <c r="A63" s="112" t="s">
        <v>213</v>
      </c>
    </row>
    <row r="65" spans="1:3" x14ac:dyDescent="0.3">
      <c r="A65" s="108" t="s">
        <v>214</v>
      </c>
    </row>
    <row r="66" spans="1:3" x14ac:dyDescent="0.3">
      <c r="A66" t="s">
        <v>215</v>
      </c>
    </row>
    <row r="67" spans="1:3" x14ac:dyDescent="0.3">
      <c r="A67" t="s">
        <v>216</v>
      </c>
    </row>
    <row r="68" spans="1:3" x14ac:dyDescent="0.3">
      <c r="A68" t="s">
        <v>217</v>
      </c>
    </row>
    <row r="69" spans="1:3" x14ac:dyDescent="0.3">
      <c r="A69" t="s">
        <v>218</v>
      </c>
    </row>
    <row r="70" spans="1:3" x14ac:dyDescent="0.3">
      <c r="A70" t="s">
        <v>836</v>
      </c>
    </row>
    <row r="71" spans="1:3" s="307" customFormat="1" x14ac:dyDescent="0.3">
      <c r="A71" s="307" t="s">
        <v>835</v>
      </c>
    </row>
    <row r="72" spans="1:3" x14ac:dyDescent="0.3">
      <c r="A72" t="s">
        <v>945</v>
      </c>
    </row>
    <row r="73" spans="1:3" s="61" customFormat="1" x14ac:dyDescent="0.3">
      <c r="B73" s="115" t="s">
        <v>219</v>
      </c>
      <c r="C73" s="115" t="s">
        <v>61</v>
      </c>
    </row>
    <row r="74" spans="1:3" x14ac:dyDescent="0.3">
      <c r="B74">
        <v>2025</v>
      </c>
      <c r="C74" s="78">
        <f>'Contributions &amp; Covered Payroll'!V25</f>
        <v>55021.740000000005</v>
      </c>
    </row>
    <row r="75" spans="1:3" x14ac:dyDescent="0.3">
      <c r="B75">
        <v>2024</v>
      </c>
      <c r="C75" s="78">
        <f>'Contributions &amp; Covered Payroll'!T25</f>
        <v>54869.479999999996</v>
      </c>
    </row>
    <row r="76" spans="1:3" x14ac:dyDescent="0.3">
      <c r="B76">
        <v>2023</v>
      </c>
      <c r="C76" s="78">
        <f>'Contributions &amp; Covered Payroll'!R25</f>
        <v>57870.039999999994</v>
      </c>
    </row>
    <row r="78" spans="1:3" x14ac:dyDescent="0.3">
      <c r="A78" s="112" t="s">
        <v>239</v>
      </c>
    </row>
    <row r="80" spans="1:3" x14ac:dyDescent="0.3">
      <c r="A80" s="112" t="s">
        <v>751</v>
      </c>
    </row>
    <row r="81" spans="1:7" x14ac:dyDescent="0.3">
      <c r="A81" s="112" t="s">
        <v>752</v>
      </c>
    </row>
    <row r="82" spans="1:7" x14ac:dyDescent="0.3">
      <c r="A82" s="112" t="s">
        <v>220</v>
      </c>
    </row>
    <row r="84" spans="1:7" x14ac:dyDescent="0.3">
      <c r="A84" s="108" t="s">
        <v>764</v>
      </c>
    </row>
    <row r="85" spans="1:7" x14ac:dyDescent="0.3">
      <c r="A85" s="108" t="s">
        <v>240</v>
      </c>
    </row>
    <row r="86" spans="1:7" x14ac:dyDescent="0.3">
      <c r="A86" t="s">
        <v>946</v>
      </c>
    </row>
    <row r="87" spans="1:7" x14ac:dyDescent="0.3">
      <c r="A87" t="s">
        <v>792</v>
      </c>
    </row>
    <row r="88" spans="1:7" x14ac:dyDescent="0.3">
      <c r="A88" t="s">
        <v>947</v>
      </c>
    </row>
    <row r="89" spans="1:7" x14ac:dyDescent="0.3">
      <c r="A89" t="s">
        <v>959</v>
      </c>
    </row>
    <row r="90" spans="1:7" s="61" customFormat="1" x14ac:dyDescent="0.3"/>
    <row r="91" spans="1:7" x14ac:dyDescent="0.3">
      <c r="B91" s="61" t="s">
        <v>744</v>
      </c>
      <c r="F91" s="78">
        <f>15263012420*Calculations!H27</f>
        <v>4657660.8700871998</v>
      </c>
      <c r="G91" s="135"/>
    </row>
    <row r="92" spans="1:7" x14ac:dyDescent="0.3">
      <c r="F92" s="79"/>
      <c r="G92" s="136"/>
    </row>
    <row r="93" spans="1:7" x14ac:dyDescent="0.3">
      <c r="B93" t="s">
        <v>745</v>
      </c>
      <c r="F93" s="117">
        <f>15271517603*Calculations!H27</f>
        <v>4660256.3117314801</v>
      </c>
      <c r="G93" s="135"/>
    </row>
    <row r="94" spans="1:7" x14ac:dyDescent="0.3">
      <c r="F94" s="79"/>
      <c r="G94" s="136"/>
    </row>
    <row r="95" spans="1:7" ht="15" thickBot="1" x14ac:dyDescent="0.35">
      <c r="B95" s="61" t="s">
        <v>221</v>
      </c>
      <c r="F95" s="118">
        <f>-8505183*Calculations!H27</f>
        <v>-2595.4416442800002</v>
      </c>
      <c r="G95" s="135"/>
    </row>
    <row r="96" spans="1:7" ht="15" thickTop="1" x14ac:dyDescent="0.3">
      <c r="G96" s="88"/>
    </row>
    <row r="97" spans="1:7" x14ac:dyDescent="0.3">
      <c r="A97" s="415" t="s">
        <v>948</v>
      </c>
      <c r="B97" s="415"/>
      <c r="C97" s="415"/>
      <c r="D97" s="415"/>
      <c r="E97" s="415"/>
      <c r="F97" s="120">
        <f>F95</f>
        <v>-2595.4416442800002</v>
      </c>
      <c r="G97" s="116"/>
    </row>
    <row r="98" spans="1:7" x14ac:dyDescent="0.3">
      <c r="A98" t="s">
        <v>746</v>
      </c>
    </row>
    <row r="99" spans="1:7" x14ac:dyDescent="0.3">
      <c r="A99" t="s">
        <v>949</v>
      </c>
    </row>
    <row r="100" spans="1:7" x14ac:dyDescent="0.3">
      <c r="A100" t="s">
        <v>747</v>
      </c>
    </row>
    <row r="101" spans="1:7" x14ac:dyDescent="0.3">
      <c r="A101" t="s">
        <v>950</v>
      </c>
    </row>
    <row r="102" spans="1:7" x14ac:dyDescent="0.3">
      <c r="A102" t="s">
        <v>748</v>
      </c>
      <c r="D102" s="358">
        <f>Calculations!H27</f>
        <v>3.0516000000000001E-4</v>
      </c>
      <c r="E102" t="s">
        <v>222</v>
      </c>
    </row>
    <row r="103" spans="1:7" x14ac:dyDescent="0.3">
      <c r="A103" s="358">
        <f>ROUND(Calculations!H27-Calculations!H26,10)</f>
        <v>-2.3139999999999999E-5</v>
      </c>
      <c r="B103" t="s">
        <v>951</v>
      </c>
    </row>
    <row r="104" spans="1:7" ht="9" customHeight="1" x14ac:dyDescent="0.3"/>
    <row r="105" spans="1:7" x14ac:dyDescent="0.3">
      <c r="A105" s="112" t="s">
        <v>224</v>
      </c>
    </row>
    <row r="106" spans="1:7" x14ac:dyDescent="0.3">
      <c r="A106" s="112" t="s">
        <v>753</v>
      </c>
    </row>
    <row r="107" spans="1:7" x14ac:dyDescent="0.3">
      <c r="A107" s="112" t="s">
        <v>223</v>
      </c>
    </row>
    <row r="108" spans="1:7" ht="8.25" customHeight="1" x14ac:dyDescent="0.3"/>
    <row r="109" spans="1:7" x14ac:dyDescent="0.3">
      <c r="A109" s="112" t="s">
        <v>241</v>
      </c>
    </row>
    <row r="110" spans="1:7" x14ac:dyDescent="0.3">
      <c r="A110" s="112" t="s">
        <v>225</v>
      </c>
    </row>
    <row r="111" spans="1:7" x14ac:dyDescent="0.3">
      <c r="A111" s="112" t="s">
        <v>754</v>
      </c>
    </row>
    <row r="112" spans="1:7" x14ac:dyDescent="0.3">
      <c r="A112" s="112" t="s">
        <v>226</v>
      </c>
    </row>
    <row r="114" spans="1:6" x14ac:dyDescent="0.3">
      <c r="A114" s="119" t="s">
        <v>952</v>
      </c>
    </row>
    <row r="115" spans="1:6" x14ac:dyDescent="0.3">
      <c r="A115" s="201" t="s">
        <v>755</v>
      </c>
      <c r="B115" s="120">
        <f>'Statement of Activities Wrkst'!M123</f>
        <v>-49681.613795294543</v>
      </c>
      <c r="C115" s="61" t="s">
        <v>953</v>
      </c>
    </row>
    <row r="116" spans="1:6" x14ac:dyDescent="0.3">
      <c r="A116" t="s">
        <v>756</v>
      </c>
    </row>
    <row r="118" spans="1:6" x14ac:dyDescent="0.3">
      <c r="E118" s="114" t="s">
        <v>227</v>
      </c>
      <c r="F118" s="114" t="s">
        <v>229</v>
      </c>
    </row>
    <row r="119" spans="1:6" x14ac:dyDescent="0.3">
      <c r="E119" s="121" t="s">
        <v>228</v>
      </c>
      <c r="F119" s="121" t="s">
        <v>228</v>
      </c>
    </row>
    <row r="120" spans="1:6" x14ac:dyDescent="0.3">
      <c r="A120" t="s">
        <v>230</v>
      </c>
    </row>
    <row r="121" spans="1:6" x14ac:dyDescent="0.3">
      <c r="A121" t="s">
        <v>231</v>
      </c>
      <c r="E121" s="78">
        <f>291192103*Calculations!H27</f>
        <v>88860.18215148001</v>
      </c>
      <c r="F121" s="78"/>
    </row>
    <row r="122" spans="1:6" x14ac:dyDescent="0.3">
      <c r="E122" s="79"/>
      <c r="F122" s="79"/>
    </row>
    <row r="123" spans="1:6" x14ac:dyDescent="0.3">
      <c r="A123" t="s">
        <v>232</v>
      </c>
      <c r="E123" s="78"/>
      <c r="F123" s="78">
        <f>451462251*Calculations!H27</f>
        <v>137768.22051516001</v>
      </c>
    </row>
    <row r="124" spans="1:6" x14ac:dyDescent="0.3">
      <c r="E124" s="79"/>
      <c r="F124" s="79"/>
    </row>
    <row r="125" spans="1:6" x14ac:dyDescent="0.3">
      <c r="A125" t="s">
        <v>238</v>
      </c>
      <c r="E125" s="78">
        <f>414396201*Calculations!H27</f>
        <v>126457.14469716001</v>
      </c>
      <c r="F125" s="78"/>
    </row>
    <row r="126" spans="1:6" x14ac:dyDescent="0.3">
      <c r="A126" t="s">
        <v>233</v>
      </c>
      <c r="E126" s="78"/>
      <c r="F126" s="78"/>
    </row>
    <row r="127" spans="1:6" x14ac:dyDescent="0.3">
      <c r="E127" s="79"/>
      <c r="F127" s="79"/>
    </row>
    <row r="128" spans="1:6" x14ac:dyDescent="0.3">
      <c r="A128" t="s">
        <v>234</v>
      </c>
      <c r="E128" s="79"/>
      <c r="F128" s="79"/>
    </row>
    <row r="129" spans="1:7" x14ac:dyDescent="0.3">
      <c r="A129" t="s">
        <v>763</v>
      </c>
      <c r="E129" s="79"/>
      <c r="F129" s="79"/>
    </row>
    <row r="130" spans="1:7" x14ac:dyDescent="0.3">
      <c r="A130" t="s">
        <v>158</v>
      </c>
      <c r="E130" s="120">
        <f>'Change in Proportionate Share'!N41</f>
        <v>9948.9926486799777</v>
      </c>
      <c r="F130" s="120">
        <f>-'Change in Proportionate Share'!N62</f>
        <v>384.25999999999976</v>
      </c>
    </row>
    <row r="131" spans="1:7" x14ac:dyDescent="0.3">
      <c r="E131" s="79"/>
      <c r="F131" s="79"/>
    </row>
    <row r="132" spans="1:7" x14ac:dyDescent="0.3">
      <c r="A132" t="s">
        <v>765</v>
      </c>
      <c r="E132" s="79"/>
      <c r="F132" s="79"/>
    </row>
    <row r="133" spans="1:7" x14ac:dyDescent="0.3">
      <c r="A133" t="s">
        <v>235</v>
      </c>
      <c r="E133" s="124">
        <f>Calculations!H202</f>
        <v>27783.24</v>
      </c>
      <c r="F133" s="125"/>
    </row>
    <row r="134" spans="1:7" x14ac:dyDescent="0.3">
      <c r="E134" s="79"/>
      <c r="F134" s="79"/>
    </row>
    <row r="135" spans="1:7" ht="15" thickBot="1" x14ac:dyDescent="0.35">
      <c r="D135" s="61" t="s">
        <v>236</v>
      </c>
      <c r="E135" s="126">
        <f>SUM(E121:E133)</f>
        <v>253049.55949731998</v>
      </c>
      <c r="F135" s="118">
        <f>SUM(F121:F133)</f>
        <v>138152.48051516002</v>
      </c>
      <c r="G135" s="233" t="s">
        <v>246</v>
      </c>
    </row>
    <row r="136" spans="1:7" ht="8.25" customHeight="1" thickTop="1" x14ac:dyDescent="0.3"/>
    <row r="137" spans="1:7" x14ac:dyDescent="0.3">
      <c r="A137" s="112" t="s">
        <v>252</v>
      </c>
    </row>
    <row r="138" spans="1:7" x14ac:dyDescent="0.3">
      <c r="A138" s="112" t="s">
        <v>237</v>
      </c>
    </row>
    <row r="139" spans="1:7" ht="8.25" customHeight="1" x14ac:dyDescent="0.3"/>
    <row r="140" spans="1:7" x14ac:dyDescent="0.3">
      <c r="A140" s="120">
        <f>E133</f>
        <v>27783.24</v>
      </c>
      <c r="B140" t="s">
        <v>757</v>
      </c>
    </row>
    <row r="141" spans="1:7" x14ac:dyDescent="0.3">
      <c r="A141" t="s">
        <v>758</v>
      </c>
    </row>
    <row r="142" spans="1:7" x14ac:dyDescent="0.3">
      <c r="A142" t="s">
        <v>954</v>
      </c>
    </row>
    <row r="143" spans="1:7" x14ac:dyDescent="0.3">
      <c r="A143" t="s">
        <v>242</v>
      </c>
    </row>
    <row r="144" spans="1:7" x14ac:dyDescent="0.3">
      <c r="A144" t="s">
        <v>759</v>
      </c>
    </row>
    <row r="145" spans="1:10" ht="9.75" customHeight="1" x14ac:dyDescent="0.3"/>
    <row r="146" spans="1:10" x14ac:dyDescent="0.3">
      <c r="B146" t="s">
        <v>243</v>
      </c>
    </row>
    <row r="147" spans="1:10" x14ac:dyDescent="0.3">
      <c r="A147" s="122" t="s">
        <v>244</v>
      </c>
      <c r="B147" s="241" t="s">
        <v>781</v>
      </c>
    </row>
    <row r="148" spans="1:10" ht="6.75" customHeight="1" x14ac:dyDescent="0.3"/>
    <row r="149" spans="1:10" x14ac:dyDescent="0.3">
      <c r="B149" s="61">
        <v>2026</v>
      </c>
      <c r="C149" s="113">
        <f>196500617*Calculations!H27+'Change in Proportionate Share'!O39+'Change in Proportionate Share'!O60</f>
        <v>64292.378283720005</v>
      </c>
    </row>
    <row r="150" spans="1:10" x14ac:dyDescent="0.3">
      <c r="B150" s="61">
        <v>2027</v>
      </c>
      <c r="C150" s="113">
        <f>21318146*Calculations!H27+'Change in Proportionate Share'!P39+'Change in Proportionate Share'!P60</f>
        <v>10313.465433360001</v>
      </c>
    </row>
    <row r="151" spans="1:10" x14ac:dyDescent="0.3">
      <c r="B151" s="61">
        <v>2028</v>
      </c>
      <c r="C151" s="113">
        <f>13594184*Calculations!H27+'Change in Proportionate Share'!Q39+'Change in Proportionate Share'!Q60</f>
        <v>5437.0511894400006</v>
      </c>
    </row>
    <row r="152" spans="1:10" x14ac:dyDescent="0.3">
      <c r="B152" s="61">
        <v>2029</v>
      </c>
      <c r="C152" s="113">
        <f>22713106*Calculations!H27+'Change in Proportionate Share'!R39+'Change in Proportionate Share'!R60</f>
        <v>7070.9440756399799</v>
      </c>
      <c r="J152" s="68"/>
    </row>
    <row r="153" spans="1:10" x14ac:dyDescent="0.3">
      <c r="B153">
        <v>2030</v>
      </c>
      <c r="C153" s="113">
        <f>'Change in Proportionate Share'!S39+'Change in Proportionate Share'!S60</f>
        <v>0</v>
      </c>
    </row>
    <row r="154" spans="1:10" x14ac:dyDescent="0.3">
      <c r="B154" t="s">
        <v>245</v>
      </c>
      <c r="C154" s="113">
        <f>'Change in Proportionate Share'!S39+'Change in Proportionate Share'!S60</f>
        <v>0</v>
      </c>
    </row>
    <row r="155" spans="1:10" ht="6" customHeight="1" x14ac:dyDescent="0.3">
      <c r="C155" s="79"/>
    </row>
    <row r="156" spans="1:10" ht="15" thickBot="1" x14ac:dyDescent="0.35">
      <c r="B156" s="123" t="s">
        <v>236</v>
      </c>
      <c r="C156" s="127">
        <f>SUM(C149:C155)</f>
        <v>87113.838982159985</v>
      </c>
      <c r="D156" s="233" t="s">
        <v>246</v>
      </c>
    </row>
    <row r="157" spans="1:10" ht="15" thickTop="1" x14ac:dyDescent="0.3"/>
    <row r="158" spans="1:10" x14ac:dyDescent="0.3">
      <c r="A158" s="108" t="s">
        <v>247</v>
      </c>
    </row>
    <row r="159" spans="1:10" x14ac:dyDescent="0.3">
      <c r="A159" t="s">
        <v>955</v>
      </c>
    </row>
    <row r="160" spans="1:10" x14ac:dyDescent="0.3">
      <c r="A160" t="s">
        <v>248</v>
      </c>
    </row>
    <row r="161" spans="1:6" ht="6.75" customHeight="1" x14ac:dyDescent="0.3"/>
    <row r="162" spans="1:6" x14ac:dyDescent="0.3">
      <c r="A162" s="128"/>
      <c r="B162" s="123" t="s">
        <v>249</v>
      </c>
      <c r="C162" s="312" t="s">
        <v>860</v>
      </c>
    </row>
    <row r="163" spans="1:6" s="61" customFormat="1" ht="6.75" customHeight="1" x14ac:dyDescent="0.3">
      <c r="A163" s="123"/>
      <c r="B163" s="123"/>
      <c r="C163" s="111"/>
    </row>
    <row r="164" spans="1:6" x14ac:dyDescent="0.3">
      <c r="A164" s="128"/>
      <c r="B164" s="123" t="s">
        <v>250</v>
      </c>
      <c r="C164" s="128" t="s">
        <v>861</v>
      </c>
    </row>
    <row r="165" spans="1:6" s="61" customFormat="1" ht="9" customHeight="1" x14ac:dyDescent="0.3">
      <c r="A165" s="123"/>
      <c r="B165" s="123"/>
    </row>
    <row r="166" spans="1:6" ht="31.5" customHeight="1" x14ac:dyDescent="0.3">
      <c r="A166" s="129"/>
      <c r="B166" s="326" t="s">
        <v>793</v>
      </c>
      <c r="C166" s="418" t="s">
        <v>862</v>
      </c>
      <c r="D166" s="418"/>
      <c r="E166" s="418"/>
      <c r="F166" s="418"/>
    </row>
    <row r="167" spans="1:6" s="309" customFormat="1" ht="6.75" customHeight="1" x14ac:dyDescent="0.3">
      <c r="A167" s="129"/>
      <c r="B167" s="130"/>
    </row>
    <row r="168" spans="1:6" s="309" customFormat="1" x14ac:dyDescent="0.3">
      <c r="A168" s="129"/>
      <c r="B168" s="310" t="s">
        <v>840</v>
      </c>
      <c r="C168" s="311" t="s">
        <v>956</v>
      </c>
    </row>
    <row r="169" spans="1:6" x14ac:dyDescent="0.3">
      <c r="A169" s="414"/>
      <c r="B169" s="414"/>
      <c r="C169" s="61"/>
    </row>
    <row r="170" spans="1:6" s="333" customFormat="1" x14ac:dyDescent="0.3">
      <c r="A170" s="332" t="s">
        <v>863</v>
      </c>
      <c r="B170" s="331"/>
    </row>
    <row r="171" spans="1:6" s="333" customFormat="1" x14ac:dyDescent="0.3">
      <c r="A171" s="331"/>
      <c r="B171" s="332" t="s">
        <v>864</v>
      </c>
    </row>
    <row r="172" spans="1:6" s="333" customFormat="1" x14ac:dyDescent="0.3">
      <c r="A172" s="331"/>
      <c r="B172" s="332" t="s">
        <v>865</v>
      </c>
    </row>
    <row r="173" spans="1:6" s="333" customFormat="1" x14ac:dyDescent="0.3">
      <c r="A173" s="331"/>
      <c r="B173" s="332" t="s">
        <v>866</v>
      </c>
    </row>
    <row r="174" spans="1:6" s="333" customFormat="1" x14ac:dyDescent="0.3">
      <c r="A174" s="331"/>
      <c r="B174" s="332" t="s">
        <v>867</v>
      </c>
    </row>
    <row r="175" spans="1:6" s="333" customFormat="1" x14ac:dyDescent="0.3">
      <c r="A175" s="331"/>
      <c r="B175" s="332" t="s">
        <v>868</v>
      </c>
    </row>
    <row r="176" spans="1:6" s="333" customFormat="1" x14ac:dyDescent="0.3">
      <c r="A176" s="331"/>
      <c r="B176" s="332" t="s">
        <v>869</v>
      </c>
    </row>
    <row r="177" spans="1:2" s="333" customFormat="1" x14ac:dyDescent="0.3">
      <c r="A177" s="331"/>
      <c r="B177" s="332" t="s">
        <v>870</v>
      </c>
    </row>
    <row r="178" spans="1:2" s="333" customFormat="1" x14ac:dyDescent="0.3">
      <c r="A178" s="331"/>
      <c r="B178" s="332" t="s">
        <v>871</v>
      </c>
    </row>
    <row r="179" spans="1:2" s="333" customFormat="1" x14ac:dyDescent="0.3">
      <c r="A179" s="331"/>
      <c r="B179" s="332" t="s">
        <v>880</v>
      </c>
    </row>
    <row r="180" spans="1:2" s="333" customFormat="1" x14ac:dyDescent="0.3">
      <c r="A180" s="331"/>
      <c r="B180" s="332" t="s">
        <v>872</v>
      </c>
    </row>
    <row r="181" spans="1:2" s="333" customFormat="1" x14ac:dyDescent="0.3">
      <c r="A181" s="331"/>
      <c r="B181" s="332" t="s">
        <v>873</v>
      </c>
    </row>
    <row r="182" spans="1:2" s="333" customFormat="1" x14ac:dyDescent="0.3">
      <c r="A182" s="331"/>
      <c r="B182" s="332" t="s">
        <v>874</v>
      </c>
    </row>
    <row r="183" spans="1:2" s="333" customFormat="1" x14ac:dyDescent="0.3">
      <c r="A183" s="331"/>
      <c r="B183" s="332" t="s">
        <v>875</v>
      </c>
    </row>
    <row r="184" spans="1:2" s="333" customFormat="1" x14ac:dyDescent="0.3">
      <c r="A184" s="331"/>
      <c r="B184" s="332" t="s">
        <v>876</v>
      </c>
    </row>
    <row r="185" spans="1:2" s="333" customFormat="1" x14ac:dyDescent="0.3">
      <c r="A185" s="331"/>
      <c r="B185" s="332" t="s">
        <v>877</v>
      </c>
    </row>
    <row r="186" spans="1:2" s="333" customFormat="1" x14ac:dyDescent="0.3">
      <c r="A186" s="331"/>
      <c r="B186" s="332" t="s">
        <v>879</v>
      </c>
    </row>
    <row r="187" spans="1:2" s="333" customFormat="1" x14ac:dyDescent="0.3">
      <c r="A187" s="331"/>
      <c r="B187" s="331" t="s">
        <v>878</v>
      </c>
    </row>
    <row r="188" spans="1:2" s="73" customFormat="1" x14ac:dyDescent="0.3">
      <c r="A188" s="73" t="s">
        <v>957</v>
      </c>
    </row>
    <row r="189" spans="1:2" s="73" customFormat="1" x14ac:dyDescent="0.3">
      <c r="A189" s="73" t="s">
        <v>899</v>
      </c>
    </row>
    <row r="190" spans="1:2" s="73" customFormat="1" x14ac:dyDescent="0.3"/>
    <row r="191" spans="1:2" x14ac:dyDescent="0.3">
      <c r="A191" s="112" t="s">
        <v>761</v>
      </c>
    </row>
    <row r="192" spans="1:2" x14ac:dyDescent="0.3">
      <c r="A192" s="112" t="s">
        <v>760</v>
      </c>
    </row>
    <row r="193" spans="1:1" x14ac:dyDescent="0.3">
      <c r="A193" s="112" t="s">
        <v>251</v>
      </c>
    </row>
    <row r="195" spans="1:1" x14ac:dyDescent="0.3">
      <c r="A195" s="119" t="s">
        <v>253</v>
      </c>
    </row>
    <row r="196" spans="1:1" x14ac:dyDescent="0.3">
      <c r="A196" s="119" t="s">
        <v>254</v>
      </c>
    </row>
    <row r="197" spans="1:1" x14ac:dyDescent="0.3">
      <c r="A197" s="119" t="s">
        <v>255</v>
      </c>
    </row>
    <row r="198" spans="1:1" x14ac:dyDescent="0.3">
      <c r="A198" s="119" t="s">
        <v>256</v>
      </c>
    </row>
    <row r="199" spans="1:1" x14ac:dyDescent="0.3">
      <c r="A199" s="119" t="s">
        <v>257</v>
      </c>
    </row>
    <row r="200" spans="1:1" x14ac:dyDescent="0.3">
      <c r="A200" s="119" t="s">
        <v>258</v>
      </c>
    </row>
    <row r="201" spans="1:1" x14ac:dyDescent="0.3">
      <c r="A201" s="119" t="s">
        <v>259</v>
      </c>
    </row>
    <row r="202" spans="1:1" x14ac:dyDescent="0.3">
      <c r="A202" s="119" t="s">
        <v>260</v>
      </c>
    </row>
    <row r="203" spans="1:1" x14ac:dyDescent="0.3">
      <c r="A203" s="119" t="s">
        <v>261</v>
      </c>
    </row>
    <row r="204" spans="1:1" x14ac:dyDescent="0.3">
      <c r="A204" s="119" t="s">
        <v>262</v>
      </c>
    </row>
    <row r="205" spans="1:1" x14ac:dyDescent="0.3">
      <c r="A205" s="119" t="s">
        <v>263</v>
      </c>
    </row>
    <row r="206" spans="1:1" x14ac:dyDescent="0.3">
      <c r="A206" s="119" t="s">
        <v>264</v>
      </c>
    </row>
    <row r="207" spans="1:1" x14ac:dyDescent="0.3">
      <c r="A207" s="119" t="s">
        <v>958</v>
      </c>
    </row>
    <row r="208" spans="1:1" x14ac:dyDescent="0.3">
      <c r="A208" s="119" t="s">
        <v>265</v>
      </c>
    </row>
    <row r="209" spans="1:6" ht="8.25" customHeight="1" x14ac:dyDescent="0.3"/>
    <row r="210" spans="1:6" s="61" customFormat="1" x14ac:dyDescent="0.3">
      <c r="D210" s="114" t="s">
        <v>267</v>
      </c>
      <c r="E210" s="114" t="s">
        <v>268</v>
      </c>
      <c r="F210" s="114"/>
    </row>
    <row r="211" spans="1:6" x14ac:dyDescent="0.3">
      <c r="B211" s="131" t="s">
        <v>266</v>
      </c>
      <c r="C211" s="131"/>
      <c r="D211" s="121" t="s">
        <v>16</v>
      </c>
      <c r="E211" s="121" t="s">
        <v>269</v>
      </c>
      <c r="F211" s="121"/>
    </row>
    <row r="212" spans="1:6" ht="7.5" customHeight="1" x14ac:dyDescent="0.3">
      <c r="E212" s="61"/>
    </row>
    <row r="213" spans="1:6" x14ac:dyDescent="0.3">
      <c r="B213" t="s">
        <v>889</v>
      </c>
      <c r="D213" s="132">
        <v>0.56299999999999994</v>
      </c>
      <c r="E213" s="132">
        <v>3.7999999999999999E-2</v>
      </c>
      <c r="F213" s="132"/>
    </row>
    <row r="214" spans="1:6" s="338" customFormat="1" x14ac:dyDescent="0.3">
      <c r="B214" s="338" t="s">
        <v>890</v>
      </c>
      <c r="D214" s="132">
        <v>0.22800000000000001</v>
      </c>
      <c r="E214" s="132">
        <v>2.3E-2</v>
      </c>
      <c r="F214" s="132"/>
    </row>
    <row r="215" spans="1:6" x14ac:dyDescent="0.3">
      <c r="B215" t="s">
        <v>891</v>
      </c>
      <c r="D215" s="132">
        <v>7.0000000000000007E-2</v>
      </c>
      <c r="E215" s="132">
        <v>2.9000000000000001E-2</v>
      </c>
      <c r="F215" s="132"/>
    </row>
    <row r="216" spans="1:6" x14ac:dyDescent="0.3">
      <c r="B216" t="s">
        <v>270</v>
      </c>
      <c r="D216" s="132">
        <v>0.12</v>
      </c>
      <c r="E216" s="132">
        <v>0.04</v>
      </c>
      <c r="F216" s="132"/>
    </row>
    <row r="217" spans="1:6" x14ac:dyDescent="0.3">
      <c r="B217" t="s">
        <v>271</v>
      </c>
      <c r="D217" s="132">
        <v>1.9E-2</v>
      </c>
      <c r="E217" s="342">
        <v>8.0000000000000002E-3</v>
      </c>
      <c r="F217" s="132"/>
    </row>
    <row r="218" spans="1:6" ht="15" thickBot="1" x14ac:dyDescent="0.35">
      <c r="C218" t="s">
        <v>272</v>
      </c>
      <c r="D218" s="133">
        <v>1</v>
      </c>
      <c r="E218" s="343"/>
    </row>
    <row r="219" spans="1:6" ht="15" thickTop="1" x14ac:dyDescent="0.3"/>
    <row r="220" spans="1:6" x14ac:dyDescent="0.3">
      <c r="A220" s="108" t="s">
        <v>273</v>
      </c>
    </row>
    <row r="221" spans="1:6" x14ac:dyDescent="0.3">
      <c r="A221" t="s">
        <v>794</v>
      </c>
    </row>
    <row r="222" spans="1:6" x14ac:dyDescent="0.3">
      <c r="A222" t="s">
        <v>795</v>
      </c>
    </row>
    <row r="223" spans="1:6" x14ac:dyDescent="0.3">
      <c r="A223" t="s">
        <v>274</v>
      </c>
    </row>
    <row r="224" spans="1:6" x14ac:dyDescent="0.3">
      <c r="A224" t="s">
        <v>288</v>
      </c>
    </row>
    <row r="225" spans="1:1" x14ac:dyDescent="0.3">
      <c r="A225" t="s">
        <v>275</v>
      </c>
    </row>
    <row r="226" spans="1:1" x14ac:dyDescent="0.3">
      <c r="A226" t="s">
        <v>276</v>
      </c>
    </row>
    <row r="227" spans="1:1" x14ac:dyDescent="0.3">
      <c r="A227" t="s">
        <v>277</v>
      </c>
    </row>
    <row r="228" spans="1:1" x14ac:dyDescent="0.3">
      <c r="A228" t="s">
        <v>280</v>
      </c>
    </row>
    <row r="229" spans="1:1" s="61" customFormat="1" x14ac:dyDescent="0.3"/>
    <row r="230" spans="1:1" x14ac:dyDescent="0.3">
      <c r="A230" s="112" t="s">
        <v>279</v>
      </c>
    </row>
    <row r="231" spans="1:1" x14ac:dyDescent="0.3">
      <c r="A231" s="112" t="s">
        <v>766</v>
      </c>
    </row>
    <row r="232" spans="1:1" x14ac:dyDescent="0.3">
      <c r="A232" s="112" t="s">
        <v>278</v>
      </c>
    </row>
    <row r="234" spans="1:1" x14ac:dyDescent="0.3">
      <c r="A234" s="108" t="s">
        <v>281</v>
      </c>
    </row>
    <row r="235" spans="1:1" x14ac:dyDescent="0.3">
      <c r="A235" s="119" t="s">
        <v>767</v>
      </c>
    </row>
    <row r="236" spans="1:1" x14ac:dyDescent="0.3">
      <c r="A236" s="119" t="s">
        <v>798</v>
      </c>
    </row>
    <row r="237" spans="1:1" x14ac:dyDescent="0.3">
      <c r="A237" s="119" t="s">
        <v>799</v>
      </c>
    </row>
    <row r="238" spans="1:1" x14ac:dyDescent="0.3">
      <c r="A238" s="119" t="s">
        <v>796</v>
      </c>
    </row>
    <row r="239" spans="1:1" x14ac:dyDescent="0.3">
      <c r="A239" s="119" t="s">
        <v>797</v>
      </c>
    </row>
    <row r="240" spans="1:1" ht="9" customHeight="1" x14ac:dyDescent="0.3"/>
    <row r="241" spans="1:6" x14ac:dyDescent="0.3">
      <c r="D241" s="114"/>
      <c r="E241" s="114" t="s">
        <v>283</v>
      </c>
      <c r="F241" s="114"/>
    </row>
    <row r="242" spans="1:6" x14ac:dyDescent="0.3">
      <c r="D242" s="134">
        <v>0.01</v>
      </c>
      <c r="E242" s="114" t="s">
        <v>284</v>
      </c>
      <c r="F242" s="134">
        <v>0.01</v>
      </c>
    </row>
    <row r="243" spans="1:6" x14ac:dyDescent="0.3">
      <c r="D243" s="121" t="s">
        <v>286</v>
      </c>
      <c r="E243" s="121" t="s">
        <v>285</v>
      </c>
      <c r="F243" s="121" t="s">
        <v>287</v>
      </c>
    </row>
    <row r="244" spans="1:6" x14ac:dyDescent="0.3">
      <c r="A244" s="61" t="s">
        <v>768</v>
      </c>
      <c r="B244" s="61"/>
      <c r="C244" s="61"/>
    </row>
    <row r="245" spans="1:6" x14ac:dyDescent="0.3">
      <c r="A245" s="61" t="s">
        <v>282</v>
      </c>
      <c r="B245" s="61"/>
      <c r="C245" s="61"/>
      <c r="D245" s="78">
        <f>2084431536*Calculations!H27</f>
        <v>636085.12752575998</v>
      </c>
      <c r="E245" s="78">
        <f>-8505183*Calculations!H27</f>
        <v>-2595.4416442800002</v>
      </c>
      <c r="F245" s="78">
        <f>-1723120453*Calculations!H27</f>
        <v>-525827.43743747997</v>
      </c>
    </row>
    <row r="246" spans="1:6" x14ac:dyDescent="0.3">
      <c r="A246" s="61"/>
      <c r="D246" s="79"/>
      <c r="E246" s="79"/>
      <c r="F246" s="79"/>
    </row>
    <row r="247" spans="1:6" x14ac:dyDescent="0.3">
      <c r="A247" s="108" t="s">
        <v>289</v>
      </c>
    </row>
    <row r="248" spans="1:6" x14ac:dyDescent="0.3">
      <c r="A248" t="s">
        <v>290</v>
      </c>
    </row>
    <row r="249" spans="1:6" x14ac:dyDescent="0.3">
      <c r="A249" t="s">
        <v>291</v>
      </c>
    </row>
    <row r="250" spans="1:6" ht="8.25" customHeight="1" x14ac:dyDescent="0.3"/>
    <row r="251" spans="1:6" x14ac:dyDescent="0.3">
      <c r="A251" s="112" t="s">
        <v>295</v>
      </c>
    </row>
    <row r="252" spans="1:6" x14ac:dyDescent="0.3">
      <c r="A252" s="112" t="s">
        <v>292</v>
      </c>
    </row>
    <row r="253" spans="1:6" x14ac:dyDescent="0.3">
      <c r="A253" s="112" t="s">
        <v>769</v>
      </c>
    </row>
    <row r="254" spans="1:6" x14ac:dyDescent="0.3">
      <c r="A254" s="112" t="s">
        <v>293</v>
      </c>
    </row>
    <row r="256" spans="1:6" x14ac:dyDescent="0.3">
      <c r="A256" s="108" t="s">
        <v>294</v>
      </c>
    </row>
    <row r="257" spans="1:1" x14ac:dyDescent="0.3">
      <c r="A257" s="112" t="s">
        <v>770</v>
      </c>
    </row>
    <row r="258" spans="1:1" x14ac:dyDescent="0.3">
      <c r="A258" s="112" t="s">
        <v>296</v>
      </c>
    </row>
  </sheetData>
  <mergeCells count="11">
    <mergeCell ref="A169:B169"/>
    <mergeCell ref="A97:E97"/>
    <mergeCell ref="B45:F45"/>
    <mergeCell ref="B47:F47"/>
    <mergeCell ref="B46:F46"/>
    <mergeCell ref="B49:F49"/>
    <mergeCell ref="C48:F48"/>
    <mergeCell ref="C50:F50"/>
    <mergeCell ref="C51:F51"/>
    <mergeCell ref="C52:F52"/>
    <mergeCell ref="C166:F166"/>
  </mergeCells>
  <pageMargins left="0.7" right="0.7" top="0.75" bottom="0.75" header="0.3" footer="0.3"/>
  <pageSetup scale="67" orientation="portrait" r:id="rId1"/>
  <rowBreaks count="3" manualBreakCount="3">
    <brk id="63" max="5" man="1"/>
    <brk id="112" max="5" man="1"/>
    <brk id="232"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2"/>
  <sheetViews>
    <sheetView topLeftCell="A5" zoomScaleNormal="100" workbookViewId="0">
      <selection activeCell="C17" sqref="C17"/>
    </sheetView>
  </sheetViews>
  <sheetFormatPr defaultColWidth="9.109375" defaultRowHeight="13.8" x14ac:dyDescent="0.25"/>
  <cols>
    <col min="1" max="1" width="17.77734375" style="103" customWidth="1"/>
    <col min="2" max="2" width="1.6640625" style="103" customWidth="1"/>
    <col min="3" max="3" width="17.77734375" style="103" customWidth="1"/>
    <col min="4" max="4" width="1.6640625" style="103" customWidth="1"/>
    <col min="5" max="5" width="17.77734375" style="103" customWidth="1"/>
    <col min="6" max="6" width="1.6640625" style="103" customWidth="1"/>
    <col min="7" max="7" width="17.77734375" style="103" customWidth="1"/>
    <col min="8" max="8" width="1.6640625" style="103" customWidth="1"/>
    <col min="9" max="9" width="17.77734375" style="103" customWidth="1"/>
    <col min="10" max="10" width="1.6640625" style="103" customWidth="1"/>
    <col min="11" max="11" width="17.77734375" style="103" customWidth="1"/>
    <col min="12" max="16384" width="9.109375" style="103"/>
  </cols>
  <sheetData>
    <row r="1" spans="1:12" s="102" customFormat="1" ht="15.6" x14ac:dyDescent="0.3">
      <c r="A1" s="420" t="s">
        <v>916</v>
      </c>
      <c r="B1" s="420"/>
      <c r="C1" s="420"/>
      <c r="D1" s="420"/>
      <c r="E1" s="420"/>
      <c r="F1" s="420"/>
      <c r="G1" s="420"/>
      <c r="H1" s="420"/>
      <c r="I1" s="420"/>
      <c r="J1" s="420"/>
      <c r="K1" s="420"/>
    </row>
    <row r="2" spans="1:12" s="102" customFormat="1" ht="15.6" x14ac:dyDescent="0.3">
      <c r="A2" s="420" t="s">
        <v>904</v>
      </c>
      <c r="B2" s="420"/>
      <c r="C2" s="420"/>
      <c r="D2" s="420"/>
      <c r="E2" s="420"/>
      <c r="F2" s="420"/>
      <c r="G2" s="420"/>
      <c r="H2" s="420"/>
      <c r="I2" s="420"/>
      <c r="J2" s="420"/>
      <c r="K2" s="420"/>
    </row>
    <row r="3" spans="1:12" ht="15.6" x14ac:dyDescent="0.3">
      <c r="A3" s="420" t="s">
        <v>900</v>
      </c>
      <c r="B3" s="420"/>
      <c r="C3" s="420"/>
      <c r="D3" s="420"/>
      <c r="E3" s="420"/>
      <c r="F3" s="420"/>
      <c r="G3" s="420"/>
      <c r="H3" s="420"/>
      <c r="I3" s="420"/>
      <c r="J3" s="420"/>
      <c r="K3" s="420"/>
    </row>
    <row r="4" spans="1:12" ht="15.6" x14ac:dyDescent="0.3">
      <c r="A4" s="420" t="s">
        <v>203</v>
      </c>
      <c r="B4" s="420"/>
      <c r="C4" s="420"/>
      <c r="D4" s="420"/>
      <c r="E4" s="420"/>
      <c r="F4" s="420"/>
      <c r="G4" s="420"/>
      <c r="H4" s="420"/>
      <c r="I4" s="420"/>
      <c r="J4" s="420"/>
      <c r="K4" s="420"/>
    </row>
    <row r="5" spans="1:12" x14ac:dyDescent="0.25">
      <c r="A5" s="347"/>
      <c r="B5" s="104"/>
      <c r="C5" s="104"/>
      <c r="D5" s="104"/>
      <c r="E5" s="104"/>
      <c r="F5" s="104"/>
      <c r="G5" s="104"/>
      <c r="H5" s="104"/>
      <c r="I5" s="104"/>
      <c r="J5" s="104"/>
      <c r="K5" s="104"/>
    </row>
    <row r="6" spans="1:12" x14ac:dyDescent="0.25">
      <c r="A6" s="421" t="s">
        <v>800</v>
      </c>
      <c r="B6" s="421"/>
      <c r="C6" s="421"/>
      <c r="D6" s="421"/>
      <c r="E6" s="421"/>
      <c r="F6" s="421"/>
      <c r="G6" s="421"/>
      <c r="H6" s="421"/>
      <c r="I6" s="421"/>
      <c r="J6" s="421"/>
      <c r="K6" s="421"/>
    </row>
    <row r="7" spans="1:12" x14ac:dyDescent="0.25">
      <c r="A7" s="347"/>
      <c r="B7" s="104"/>
      <c r="C7" s="104"/>
      <c r="D7" s="104"/>
      <c r="E7" s="104"/>
      <c r="F7" s="104"/>
      <c r="G7" s="104"/>
      <c r="H7" s="104"/>
      <c r="I7" s="104"/>
      <c r="J7" s="104"/>
      <c r="K7" s="104"/>
    </row>
    <row r="8" spans="1:12" s="105" customFormat="1" ht="96.6" x14ac:dyDescent="0.25">
      <c r="A8" s="355" t="s">
        <v>901</v>
      </c>
      <c r="B8" s="104"/>
      <c r="C8" s="355" t="s">
        <v>905</v>
      </c>
      <c r="D8" s="354"/>
      <c r="E8" s="355" t="s">
        <v>906</v>
      </c>
      <c r="F8" s="354"/>
      <c r="G8" s="355" t="s">
        <v>907</v>
      </c>
      <c r="H8" s="354"/>
      <c r="I8" s="355" t="s">
        <v>908</v>
      </c>
      <c r="J8" s="354"/>
      <c r="K8" s="355" t="s">
        <v>902</v>
      </c>
      <c r="L8" s="353"/>
    </row>
    <row r="10" spans="1:12" x14ac:dyDescent="0.25">
      <c r="A10" s="348">
        <v>2025</v>
      </c>
      <c r="C10" s="359">
        <f>Calculations!H27</f>
        <v>3.0516000000000001E-4</v>
      </c>
      <c r="E10" s="107">
        <f>-8505183*Calculations!H27</f>
        <v>-2595.4416442800002</v>
      </c>
      <c r="G10" s="107">
        <f>'Contributions &amp; Covered Payroll'!W27</f>
        <v>907950</v>
      </c>
      <c r="I10" s="200">
        <f t="shared" ref="I10:I17" si="0">-E10/G10</f>
        <v>2.8585733182223691E-3</v>
      </c>
      <c r="K10" s="138">
        <v>1.0009999999999999</v>
      </c>
    </row>
    <row r="11" spans="1:12" x14ac:dyDescent="0.25">
      <c r="A11" s="348">
        <v>2024</v>
      </c>
      <c r="C11" s="359">
        <f>Calculations!H26</f>
        <v>3.2830000000000001E-4</v>
      </c>
      <c r="E11" s="369">
        <f>-4047977*Calculations!H26</f>
        <v>-1328.9508491000001</v>
      </c>
      <c r="G11" s="107">
        <f>'Contributions &amp; Covered Payroll'!U27</f>
        <v>921033.3</v>
      </c>
      <c r="I11" s="200">
        <f t="shared" si="0"/>
        <v>1.4428912061051431E-3</v>
      </c>
      <c r="K11" s="138">
        <v>1</v>
      </c>
    </row>
    <row r="12" spans="1:12" x14ac:dyDescent="0.25">
      <c r="A12" s="348">
        <v>2023</v>
      </c>
      <c r="C12" s="359">
        <f>Calculations!H25</f>
        <v>3.9078000000000002E-4</v>
      </c>
      <c r="E12" s="369">
        <f>-9760450*Calculations!H25</f>
        <v>-3814.1886510000004</v>
      </c>
      <c r="G12" s="107">
        <f>'Contributions &amp; Covered Payroll'!S27</f>
        <v>1007966.7</v>
      </c>
      <c r="I12" s="200">
        <f t="shared" si="0"/>
        <v>3.7840423210409634E-3</v>
      </c>
      <c r="K12" s="138">
        <v>1.0009999999999999</v>
      </c>
    </row>
    <row r="13" spans="1:12" x14ac:dyDescent="0.25">
      <c r="A13" s="348">
        <v>2022</v>
      </c>
      <c r="C13" s="359">
        <f>Calculations!H24</f>
        <v>4.1510000000000001E-4</v>
      </c>
      <c r="E13" s="369">
        <f>-9450623*Calculations!H24</f>
        <v>-3922.9536072999999</v>
      </c>
      <c r="G13" s="107">
        <f>'Contributions &amp; Covered Payroll'!Q27</f>
        <v>991200</v>
      </c>
      <c r="I13" s="200">
        <f t="shared" si="0"/>
        <v>3.9577820896892655E-3</v>
      </c>
      <c r="K13" s="138">
        <v>1.0009999999999999</v>
      </c>
    </row>
    <row r="14" spans="1:12" x14ac:dyDescent="0.25">
      <c r="A14" s="348">
        <v>2021</v>
      </c>
      <c r="C14" s="359">
        <f>Calculations!H23</f>
        <v>3.9285999999999998E-4</v>
      </c>
      <c r="E14" s="369">
        <f>-765828854*Calculations!H23</f>
        <v>-300863.52358243999</v>
      </c>
      <c r="G14" s="107">
        <f>'Contributions &amp; Covered Payroll'!O27</f>
        <v>891533.36</v>
      </c>
      <c r="I14" s="200">
        <f t="shared" si="0"/>
        <v>0.33746748812903649</v>
      </c>
      <c r="K14" s="138">
        <v>1.0551999999999999</v>
      </c>
    </row>
    <row r="15" spans="1:12" x14ac:dyDescent="0.25">
      <c r="A15" s="348">
        <v>2020</v>
      </c>
      <c r="C15" s="359">
        <f>Calculations!H22</f>
        <v>3.7250599999999999E-4</v>
      </c>
      <c r="E15" s="369">
        <f>-4342980*Calculations!H22</f>
        <v>-1617.7861078799999</v>
      </c>
      <c r="G15" s="107">
        <f>'Contributions &amp; Covered Payroll'!M27</f>
        <v>817533.39999999991</v>
      </c>
      <c r="I15" s="200">
        <f t="shared" si="0"/>
        <v>1.978862402294512E-3</v>
      </c>
      <c r="K15" s="138">
        <v>1.0004</v>
      </c>
    </row>
    <row r="16" spans="1:12" x14ac:dyDescent="0.25">
      <c r="A16" s="348">
        <v>2019</v>
      </c>
      <c r="C16" s="359">
        <f>Calculations!H21</f>
        <v>3.4834599999999997E-4</v>
      </c>
      <c r="E16" s="369">
        <f>-10597261*Calculations!H21</f>
        <v>-3691.5134803059996</v>
      </c>
      <c r="G16" s="107">
        <f>'Contributions &amp; Covered Payroll'!K27</f>
        <v>740649.96000000008</v>
      </c>
      <c r="I16" s="200">
        <f t="shared" si="0"/>
        <v>4.9841540264256535E-3</v>
      </c>
      <c r="K16" s="138">
        <v>1.0008999999999999</v>
      </c>
    </row>
    <row r="17" spans="1:11" x14ac:dyDescent="0.25">
      <c r="A17" s="348">
        <v>2018</v>
      </c>
      <c r="C17" s="359">
        <f>Calculations!H20</f>
        <v>3.7250400000000001E-4</v>
      </c>
      <c r="E17" s="369">
        <f>-2332231*Calculations!H20</f>
        <v>-868.76537642400001</v>
      </c>
      <c r="G17" s="107">
        <f>'Contributions &amp; Covered Payroll'!I27</f>
        <v>774399.96000000008</v>
      </c>
      <c r="I17" s="200">
        <f t="shared" si="0"/>
        <v>1.1218561741971164E-3</v>
      </c>
      <c r="K17" s="138">
        <v>1.0002</v>
      </c>
    </row>
    <row r="18" spans="1:11" x14ac:dyDescent="0.25">
      <c r="A18" s="348">
        <v>2017</v>
      </c>
      <c r="C18" s="359">
        <f>Calculations!H19</f>
        <v>3.64612E-4</v>
      </c>
      <c r="E18" s="369">
        <f>-9075103*Calculations!H19</f>
        <v>-3308.891455036</v>
      </c>
      <c r="G18" s="107">
        <f>'Contributions &amp; Covered Payroll'!G27</f>
        <v>740816.67999999993</v>
      </c>
      <c r="I18" s="200">
        <f>-E18/G18</f>
        <v>4.4665455629805751E-3</v>
      </c>
      <c r="K18" s="138">
        <v>1.0009999999999999</v>
      </c>
    </row>
    <row r="19" spans="1:11" x14ac:dyDescent="0.25">
      <c r="A19" s="348">
        <v>2016</v>
      </c>
      <c r="C19" s="359">
        <f>Calculations!H18</f>
        <v>3.9829299999999998E-4</v>
      </c>
      <c r="E19" s="369">
        <f>337790175*Calculations!H18</f>
        <v>134539.46217127499</v>
      </c>
      <c r="G19" s="107">
        <f>'Contributions &amp; Covered Payroll'!E27</f>
        <v>757350</v>
      </c>
      <c r="I19" s="200">
        <f>E19/G19</f>
        <v>0.17764502828451179</v>
      </c>
      <c r="K19" s="138">
        <v>0.96889999999999998</v>
      </c>
    </row>
    <row r="22" spans="1:11" ht="27.6" customHeight="1" x14ac:dyDescent="0.25">
      <c r="A22" s="419" t="s">
        <v>903</v>
      </c>
      <c r="B22" s="419"/>
      <c r="C22" s="419"/>
      <c r="D22" s="419"/>
      <c r="E22" s="419"/>
      <c r="F22" s="419"/>
      <c r="G22" s="419"/>
      <c r="H22" s="419"/>
      <c r="I22" s="419"/>
      <c r="J22" s="419"/>
      <c r="K22" s="419"/>
    </row>
  </sheetData>
  <mergeCells count="6">
    <mergeCell ref="A22:K22"/>
    <mergeCell ref="A1:K1"/>
    <mergeCell ref="A2:K2"/>
    <mergeCell ref="A3:K3"/>
    <mergeCell ref="A4:K4"/>
    <mergeCell ref="A6:K6"/>
  </mergeCells>
  <printOptions horizontalCentered="1"/>
  <pageMargins left="0.5" right="0.5" top="1" bottom="0.5" header="0" footer="0"/>
  <pageSetup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20"/>
  <sheetViews>
    <sheetView zoomScaleNormal="100" workbookViewId="0">
      <selection activeCell="O15" sqref="O15"/>
    </sheetView>
  </sheetViews>
  <sheetFormatPr defaultColWidth="9.109375" defaultRowHeight="13.8" x14ac:dyDescent="0.25"/>
  <cols>
    <col min="1" max="1" width="17.77734375" style="103" customWidth="1"/>
    <col min="2" max="2" width="1.6640625" style="103" customWidth="1"/>
    <col min="3" max="3" width="17.77734375" style="103" customWidth="1"/>
    <col min="4" max="4" width="1.6640625" style="103" customWidth="1"/>
    <col min="5" max="5" width="17.77734375" style="103" customWidth="1"/>
    <col min="6" max="6" width="1.6640625" style="103" customWidth="1"/>
    <col min="7" max="7" width="17.77734375" style="103" customWidth="1"/>
    <col min="8" max="8" width="1.6640625" style="103" customWidth="1"/>
    <col min="9" max="9" width="17.77734375" style="103" customWidth="1"/>
    <col min="10" max="10" width="1.6640625" style="103" customWidth="1"/>
    <col min="11" max="11" width="17.77734375" style="103" customWidth="1"/>
    <col min="12" max="16384" width="9.109375" style="103"/>
  </cols>
  <sheetData>
    <row r="1" spans="1:11" s="102" customFormat="1" ht="15.6" x14ac:dyDescent="0.3">
      <c r="A1" s="420" t="s">
        <v>916</v>
      </c>
      <c r="B1" s="420"/>
      <c r="C1" s="420"/>
      <c r="D1" s="420"/>
      <c r="E1" s="420"/>
      <c r="F1" s="420"/>
      <c r="G1" s="420"/>
      <c r="H1" s="420"/>
      <c r="I1" s="420"/>
      <c r="J1" s="420"/>
      <c r="K1" s="420"/>
    </row>
    <row r="2" spans="1:11" s="102" customFormat="1" ht="15.6" x14ac:dyDescent="0.3">
      <c r="A2" s="420" t="s">
        <v>914</v>
      </c>
      <c r="B2" s="420"/>
      <c r="C2" s="420"/>
      <c r="D2" s="420"/>
      <c r="E2" s="420"/>
      <c r="F2" s="420"/>
      <c r="G2" s="420"/>
      <c r="H2" s="420"/>
      <c r="I2" s="420"/>
      <c r="J2" s="420"/>
      <c r="K2" s="420"/>
    </row>
    <row r="3" spans="1:11" ht="15.6" x14ac:dyDescent="0.3">
      <c r="A3" s="420" t="s">
        <v>915</v>
      </c>
      <c r="B3" s="420"/>
      <c r="C3" s="420"/>
      <c r="D3" s="420"/>
      <c r="E3" s="420"/>
      <c r="F3" s="420"/>
      <c r="G3" s="420"/>
      <c r="H3" s="420"/>
      <c r="I3" s="420"/>
      <c r="J3" s="420"/>
      <c r="K3" s="420"/>
    </row>
    <row r="4" spans="1:11" ht="9.75" customHeight="1" x14ac:dyDescent="0.3">
      <c r="A4" s="303"/>
    </row>
    <row r="5" spans="1:11" ht="15.6" x14ac:dyDescent="0.3">
      <c r="A5" s="420" t="s">
        <v>203</v>
      </c>
      <c r="B5" s="420"/>
      <c r="C5" s="420"/>
      <c r="D5" s="420"/>
      <c r="E5" s="420"/>
      <c r="F5" s="420"/>
      <c r="G5" s="420"/>
      <c r="H5" s="420"/>
      <c r="I5" s="420"/>
      <c r="J5" s="420"/>
      <c r="K5" s="420"/>
    </row>
    <row r="6" spans="1:11" x14ac:dyDescent="0.25">
      <c r="A6" s="104"/>
    </row>
    <row r="7" spans="1:11" x14ac:dyDescent="0.25">
      <c r="A7" s="421" t="s">
        <v>897</v>
      </c>
      <c r="B7" s="421"/>
      <c r="C7" s="421"/>
      <c r="D7" s="421"/>
      <c r="E7" s="421"/>
      <c r="F7" s="421"/>
      <c r="G7" s="421"/>
      <c r="H7" s="421"/>
      <c r="I7" s="421"/>
      <c r="J7" s="421"/>
      <c r="K7" s="421"/>
    </row>
    <row r="9" spans="1:11" s="105" customFormat="1" ht="69" x14ac:dyDescent="0.25">
      <c r="A9" s="355" t="s">
        <v>901</v>
      </c>
      <c r="B9" s="353"/>
      <c r="C9" s="355" t="s">
        <v>909</v>
      </c>
      <c r="D9" s="354"/>
      <c r="E9" s="355" t="s">
        <v>910</v>
      </c>
      <c r="F9" s="354"/>
      <c r="G9" s="355" t="s">
        <v>911</v>
      </c>
      <c r="H9" s="354"/>
      <c r="I9" s="355" t="s">
        <v>913</v>
      </c>
      <c r="J9" s="354"/>
      <c r="K9" s="355" t="s">
        <v>912</v>
      </c>
    </row>
    <row r="11" spans="1:11" x14ac:dyDescent="0.25">
      <c r="A11" s="348">
        <v>2025</v>
      </c>
      <c r="C11" s="107">
        <f>'Contributions &amp; Covered Payroll'!V25</f>
        <v>55021.740000000005</v>
      </c>
      <c r="E11" s="356">
        <f>'Contributions &amp; Covered Payroll'!V25</f>
        <v>55021.740000000005</v>
      </c>
      <c r="G11" s="357">
        <f>C11-E11</f>
        <v>0</v>
      </c>
      <c r="I11" s="107">
        <f>'Contributions &amp; Covered Payroll'!W25</f>
        <v>917028.96000000008</v>
      </c>
      <c r="K11" s="200">
        <f t="shared" ref="K11:K20" si="0">E11/I11</f>
        <v>6.0000002617147448E-2</v>
      </c>
    </row>
    <row r="12" spans="1:11" x14ac:dyDescent="0.25">
      <c r="A12" s="348">
        <v>2024</v>
      </c>
      <c r="C12" s="107">
        <f>'Contributions &amp; Covered Payroll'!T25</f>
        <v>54869.479999999996</v>
      </c>
      <c r="E12" s="356">
        <f>'Contributions &amp; Covered Payroll'!T25</f>
        <v>54869.479999999996</v>
      </c>
      <c r="G12" s="357">
        <f t="shared" ref="G12:G20" si="1">C12-E12</f>
        <v>0</v>
      </c>
      <c r="I12" s="107">
        <f>'Contributions &amp; Covered Payroll'!U25</f>
        <v>914491.32000000007</v>
      </c>
      <c r="K12" s="200">
        <f t="shared" si="0"/>
        <v>6.0000000874803262E-2</v>
      </c>
    </row>
    <row r="13" spans="1:11" x14ac:dyDescent="0.25">
      <c r="A13" s="348">
        <v>2023</v>
      </c>
      <c r="C13" s="107">
        <f>'Contributions &amp; Covered Payroll'!R25</f>
        <v>57870.039999999994</v>
      </c>
      <c r="E13" s="356">
        <f>'Contributions &amp; Covered Payroll'!R25</f>
        <v>57870.039999999994</v>
      </c>
      <c r="G13" s="357">
        <f t="shared" si="1"/>
        <v>0</v>
      </c>
      <c r="I13" s="107">
        <f>'Contributions &amp; Covered Payroll'!S25</f>
        <v>964500.66</v>
      </c>
      <c r="K13" s="200">
        <f t="shared" si="0"/>
        <v>6.0000000414722358E-2</v>
      </c>
    </row>
    <row r="14" spans="1:11" x14ac:dyDescent="0.25">
      <c r="A14" s="348">
        <v>2022</v>
      </c>
      <c r="C14" s="107">
        <f>'Contributions &amp; Covered Payroll'!P25</f>
        <v>59974.98</v>
      </c>
      <c r="E14" s="356">
        <f>'Contributions &amp; Covered Payroll'!P25</f>
        <v>59974.98</v>
      </c>
      <c r="G14" s="357">
        <f t="shared" si="1"/>
        <v>0</v>
      </c>
      <c r="I14" s="107">
        <f>'Contributions &amp; Covered Payroll'!Q25</f>
        <v>999583.02</v>
      </c>
      <c r="K14" s="200">
        <f t="shared" si="0"/>
        <v>5.9999998799499417E-2</v>
      </c>
    </row>
    <row r="15" spans="1:11" x14ac:dyDescent="0.25">
      <c r="A15" s="348">
        <v>2021</v>
      </c>
      <c r="C15" s="107">
        <f>'Contributions &amp; Covered Payroll'!N25</f>
        <v>56481.979999999996</v>
      </c>
      <c r="E15" s="356">
        <f>'Contributions &amp; Covered Payroll'!N25</f>
        <v>56481.979999999996</v>
      </c>
      <c r="G15" s="357">
        <f t="shared" si="1"/>
        <v>0</v>
      </c>
      <c r="I15" s="107">
        <f>'Contributions &amp; Covered Payroll'!O25</f>
        <v>941366.36</v>
      </c>
      <c r="K15" s="200">
        <f t="shared" si="0"/>
        <v>5.9999998300342916E-2</v>
      </c>
    </row>
    <row r="16" spans="1:11" x14ac:dyDescent="0.25">
      <c r="A16" s="348">
        <v>2020</v>
      </c>
      <c r="C16" s="107">
        <f>'Contributions &amp; Covered Payroll'!L25</f>
        <v>51272</v>
      </c>
      <c r="E16" s="356">
        <f>'Contributions &amp; Covered Payroll'!L25</f>
        <v>51272</v>
      </c>
      <c r="G16" s="357">
        <f t="shared" si="1"/>
        <v>0</v>
      </c>
      <c r="I16" s="107">
        <f>'Contributions &amp; Covered Payroll'!M25</f>
        <v>854533.35999999987</v>
      </c>
      <c r="K16" s="200">
        <f t="shared" si="0"/>
        <v>5.9999998127633083E-2</v>
      </c>
    </row>
    <row r="17" spans="1:11" x14ac:dyDescent="0.25">
      <c r="A17" s="348">
        <v>2019</v>
      </c>
      <c r="C17" s="107">
        <f>'Contributions &amp; Covered Payroll'!J25</f>
        <v>46745.52</v>
      </c>
      <c r="E17" s="356">
        <f>'Contributions &amp; Covered Payroll'!J25</f>
        <v>46745.52</v>
      </c>
      <c r="G17" s="357">
        <f t="shared" si="1"/>
        <v>0</v>
      </c>
      <c r="I17" s="107">
        <f>'Contributions &amp; Covered Payroll'!K25</f>
        <v>779092.02</v>
      </c>
      <c r="K17" s="200">
        <f t="shared" si="0"/>
        <v>5.9999998459745484E-2</v>
      </c>
    </row>
    <row r="18" spans="1:11" x14ac:dyDescent="0.25">
      <c r="A18" s="348">
        <v>2018</v>
      </c>
      <c r="C18" s="107">
        <f>'Contributions &amp; Covered Payroll'!H25</f>
        <v>45451.5</v>
      </c>
      <c r="E18" s="356">
        <f>'Contributions &amp; Covered Payroll'!H25</f>
        <v>45451.5</v>
      </c>
      <c r="G18" s="357">
        <f t="shared" si="1"/>
        <v>0</v>
      </c>
      <c r="I18" s="107">
        <f>'Contributions &amp; Covered Payroll'!I25</f>
        <v>757524.96000000008</v>
      </c>
      <c r="K18" s="200">
        <f t="shared" si="0"/>
        <v>6.0000003168212433E-2</v>
      </c>
    </row>
    <row r="19" spans="1:11" x14ac:dyDescent="0.25">
      <c r="A19" s="348">
        <v>2017</v>
      </c>
      <c r="C19" s="107">
        <f>'Contributions &amp; Covered Payroll'!F25</f>
        <v>45456.520000000004</v>
      </c>
      <c r="E19" s="356">
        <f>'Contributions &amp; Covered Payroll'!F25</f>
        <v>45456.520000000004</v>
      </c>
      <c r="G19" s="357">
        <f t="shared" si="1"/>
        <v>0</v>
      </c>
      <c r="I19" s="107">
        <f>'Contributions &amp; Covered Payroll'!G25</f>
        <v>757608.64000000013</v>
      </c>
      <c r="K19" s="200">
        <f t="shared" si="0"/>
        <v>6.0000002111908327E-2</v>
      </c>
    </row>
    <row r="20" spans="1:11" x14ac:dyDescent="0.25">
      <c r="A20" s="348">
        <v>2016</v>
      </c>
      <c r="C20" s="107">
        <f>'Contributions &amp; Covered Payroll'!D25</f>
        <v>44944.98</v>
      </c>
      <c r="E20" s="356">
        <f>'Contributions &amp; Covered Payroll'!D25</f>
        <v>44944.98</v>
      </c>
      <c r="G20" s="357">
        <f t="shared" si="1"/>
        <v>0</v>
      </c>
      <c r="I20" s="107">
        <f>'Contributions &amp; Covered Payroll'!E25</f>
        <v>749083.02</v>
      </c>
      <c r="K20" s="200">
        <f t="shared" si="0"/>
        <v>5.9999998398041383E-2</v>
      </c>
    </row>
  </sheetData>
  <mergeCells count="5">
    <mergeCell ref="A1:K1"/>
    <mergeCell ref="A2:K2"/>
    <mergeCell ref="A3:K3"/>
    <mergeCell ref="A5:K5"/>
    <mergeCell ref="A7:K7"/>
  </mergeCells>
  <printOptions horizontalCentered="1"/>
  <pageMargins left="0.5" right="0.5" top="1" bottom="0.5" header="0" footer="0"/>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Change in Proportionate Share</vt:lpstr>
      <vt:lpstr>Contributions &amp; Covered Payroll</vt:lpstr>
      <vt:lpstr>Calculations</vt:lpstr>
      <vt:lpstr>Reconciliations</vt:lpstr>
      <vt:lpstr>Statement of Net Position Wrkst</vt:lpstr>
      <vt:lpstr>Statement of Activities Wrkst</vt:lpstr>
      <vt:lpstr>Pension Notes</vt:lpstr>
      <vt:lpstr>RSI-NPL(A)</vt:lpstr>
      <vt:lpstr>RSI-Contributions</vt:lpstr>
      <vt:lpstr>RSI-Notes</vt:lpstr>
      <vt:lpstr>Calculations!Print_Area</vt:lpstr>
      <vt:lpstr>'Change in Proportionate Share'!Print_Area</vt:lpstr>
      <vt:lpstr>'Pension Notes'!Print_Area</vt:lpstr>
      <vt:lpstr>'RSI-Notes'!Print_Area</vt:lpstr>
      <vt:lpstr>'Statement of Net Position Wrkst'!Print_Area</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Fortin, Rod</dc:creator>
  <cp:lastModifiedBy>Fortin, Rod</cp:lastModifiedBy>
  <cp:lastPrinted>2024-12-31T15:41:06Z</cp:lastPrinted>
  <dcterms:created xsi:type="dcterms:W3CDTF">2016-05-17T04:02:26Z</dcterms:created>
  <dcterms:modified xsi:type="dcterms:W3CDTF">2025-12-30T02:00:08Z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2025-12-27T00:30:01Z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623e1e4c-5fef-41c0-ac7b-0801030fdf71</vt:lpwstr>
  </property>
  <property fmtid="{D5CDD505-2E9C-101B-9397-08002B2CF9AE}" pid="8" name="MSIP_Label_ec3b1a8e-41ed-4bc7-92d1-0305fbefd661_ContentBits">
    <vt:lpwstr>0</vt:lpwstr>
  </property>
  <property fmtid="{D5CDD505-2E9C-101B-9397-08002B2CF9AE}" pid="9" name="MSIP_Label_ec3b1a8e-41ed-4bc7-92d1-0305fbefd661_Tag">
    <vt:lpwstr>10, 3, 0, 1</vt:lpwstr>
  </property>
</Properties>
</file>